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150" yWindow="-165" windowWidth="11610" windowHeight="11640"/>
  </bookViews>
  <sheets>
    <sheet name="Title" sheetId="110" r:id="rId1"/>
    <sheet name="General Variables" sheetId="49" r:id="rId2"/>
    <sheet name="Power Units" sheetId="48" r:id="rId3"/>
    <sheet name="Operations" sheetId="1" r:id="rId4"/>
    <sheet name="Materials" sheetId="2" r:id="rId5"/>
    <sheet name="31-Pasture" sheetId="88" r:id="rId6"/>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'31-Pasture'!$A$2:$L$73</definedName>
    <definedName name="_xlnm.Print_Area" localSheetId="4">Materials!$B$1:$H$111</definedName>
    <definedName name="_xlnm.Print_Area" localSheetId="3">Operations!$A$1:$J$2</definedName>
    <definedName name="Profit">#REF!</definedName>
    <definedName name="ProfitRange">#REF!</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workbook>
</file>

<file path=xl/calcChain.xml><?xml version="1.0" encoding="utf-8"?>
<calcChain xmlns="http://schemas.openxmlformats.org/spreadsheetml/2006/main">
  <c r="A5" i="88"/>
  <c r="I54" l="1"/>
  <c r="J54"/>
  <c r="K54"/>
  <c r="I55"/>
  <c r="J55"/>
  <c r="K55"/>
  <c r="I56"/>
  <c r="J56"/>
  <c r="K56"/>
  <c r="I57"/>
  <c r="J57"/>
  <c r="K57"/>
  <c r="I58"/>
  <c r="J58"/>
  <c r="K58"/>
  <c r="C54"/>
  <c r="C55"/>
  <c r="C56"/>
  <c r="C57"/>
  <c r="C58"/>
  <c r="G11" i="2"/>
  <c r="G88" l="1"/>
  <c r="G71"/>
  <c r="G70"/>
  <c r="G69"/>
  <c r="H118" l="1"/>
  <c r="F8" i="8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N98" i="1"/>
  <c r="P98" s="1"/>
  <c r="N99"/>
  <c r="P99" s="1"/>
  <c r="O98"/>
  <c r="O99"/>
  <c r="S98"/>
  <c r="S99"/>
  <c r="T98"/>
  <c r="T99"/>
  <c r="C10" i="88"/>
  <c r="Q99" i="1" l="1"/>
  <c r="R99"/>
  <c r="U99" s="1"/>
  <c r="R98"/>
  <c r="U98" s="1"/>
  <c r="Q98"/>
  <c r="E17" i="88"/>
  <c r="O4"/>
  <c r="I3"/>
  <c r="A6" s="1"/>
  <c r="K2" l="1"/>
  <c r="F133"/>
  <c r="F132"/>
  <c r="F131"/>
  <c r="F130"/>
  <c r="F129"/>
  <c r="F128"/>
  <c r="F127"/>
  <c r="F126"/>
  <c r="F125"/>
  <c r="F124"/>
  <c r="F123"/>
  <c r="F122"/>
  <c r="F121"/>
  <c r="F120"/>
  <c r="F119"/>
  <c r="F118"/>
  <c r="F117"/>
  <c r="F116"/>
  <c r="F115"/>
  <c r="F114"/>
  <c r="F113"/>
  <c r="F112"/>
  <c r="F111"/>
  <c r="F110"/>
  <c r="F109"/>
  <c r="F108"/>
  <c r="C108"/>
  <c r="B108"/>
  <c r="B73"/>
  <c r="B72"/>
  <c r="I69"/>
  <c r="F69"/>
  <c r="I68"/>
  <c r="F68"/>
  <c r="K67"/>
  <c r="I64"/>
  <c r="H64"/>
  <c r="K59"/>
  <c r="J59"/>
  <c r="I59"/>
  <c r="C59"/>
  <c r="K53"/>
  <c r="J53"/>
  <c r="I53"/>
  <c r="C53"/>
  <c r="K52"/>
  <c r="J52"/>
  <c r="I52"/>
  <c r="C52"/>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I38"/>
  <c r="C38"/>
  <c r="I37"/>
  <c r="C37"/>
  <c r="I36"/>
  <c r="C36"/>
  <c r="I35"/>
  <c r="C35"/>
  <c r="J29"/>
  <c r="I29"/>
  <c r="H29"/>
  <c r="G29"/>
  <c r="F29"/>
  <c r="E29"/>
  <c r="J28"/>
  <c r="I28"/>
  <c r="H28"/>
  <c r="G28"/>
  <c r="F28"/>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J16"/>
  <c r="I16"/>
  <c r="H16"/>
  <c r="G16"/>
  <c r="F16"/>
  <c r="E16"/>
  <c r="J15"/>
  <c r="I15"/>
  <c r="H15"/>
  <c r="G15"/>
  <c r="F15"/>
  <c r="E15"/>
  <c r="J14"/>
  <c r="I14"/>
  <c r="H14"/>
  <c r="G14"/>
  <c r="F14"/>
  <c r="E14"/>
  <c r="J13"/>
  <c r="I13"/>
  <c r="H13"/>
  <c r="G13"/>
  <c r="F13"/>
  <c r="E13"/>
  <c r="J12"/>
  <c r="I12"/>
  <c r="H12"/>
  <c r="G12"/>
  <c r="F12"/>
  <c r="E12"/>
  <c r="J11"/>
  <c r="I11"/>
  <c r="H11"/>
  <c r="G11"/>
  <c r="F11"/>
  <c r="E11"/>
  <c r="E8"/>
  <c r="K17" l="1"/>
  <c r="K11"/>
  <c r="K12"/>
  <c r="K13"/>
  <c r="K14"/>
  <c r="K15"/>
  <c r="K16"/>
  <c r="K18"/>
  <c r="K19"/>
  <c r="K20"/>
  <c r="K68"/>
  <c r="K69"/>
  <c r="K21"/>
  <c r="K22"/>
  <c r="K23"/>
  <c r="K24"/>
  <c r="K25"/>
  <c r="K26"/>
  <c r="K27"/>
  <c r="K28"/>
  <c r="K29"/>
  <c r="H92" i="2"/>
  <c r="H95"/>
  <c r="H93"/>
  <c r="H96"/>
  <c r="H90"/>
  <c r="H97"/>
  <c r="H91"/>
  <c r="H23"/>
  <c r="H4"/>
  <c r="H6"/>
  <c r="H5"/>
  <c r="H7"/>
  <c r="H2"/>
  <c r="H8"/>
  <c r="H3"/>
  <c r="H9"/>
  <c r="H54"/>
  <c r="H94"/>
  <c r="H60"/>
  <c r="H37"/>
  <c r="H114"/>
  <c r="H115"/>
  <c r="H116"/>
  <c r="H117"/>
  <c r="H119"/>
  <c r="H120"/>
  <c r="H121"/>
  <c r="B5" i="49"/>
  <c r="H45" i="2"/>
  <c r="H107"/>
  <c r="H67"/>
  <c r="H52"/>
  <c r="H32"/>
  <c r="H26"/>
  <c r="H65"/>
  <c r="H47"/>
  <c r="H70"/>
  <c r="H16"/>
  <c r="H11"/>
  <c r="H73"/>
  <c r="N10" i="1"/>
  <c r="P10" s="1"/>
  <c r="J38"/>
  <c r="J21"/>
  <c r="N39"/>
  <c r="N40"/>
  <c r="H39"/>
  <c r="O39" s="1"/>
  <c r="J40"/>
  <c r="J39"/>
  <c r="H40"/>
  <c r="O3"/>
  <c r="O7"/>
  <c r="O21"/>
  <c r="O24"/>
  <c r="O34"/>
  <c r="O69"/>
  <c r="O35"/>
  <c r="O57"/>
  <c r="O62"/>
  <c r="O70"/>
  <c r="O2"/>
  <c r="O71"/>
  <c r="O72"/>
  <c r="O73"/>
  <c r="O74"/>
  <c r="O75"/>
  <c r="O76"/>
  <c r="O77"/>
  <c r="O78"/>
  <c r="O79"/>
  <c r="O80"/>
  <c r="O81"/>
  <c r="O82"/>
  <c r="O83"/>
  <c r="O84"/>
  <c r="O85"/>
  <c r="O86"/>
  <c r="O87"/>
  <c r="O88"/>
  <c r="O89"/>
  <c r="O90"/>
  <c r="O91"/>
  <c r="O92"/>
  <c r="O93"/>
  <c r="O94"/>
  <c r="O95"/>
  <c r="O96"/>
  <c r="O97"/>
  <c r="O100"/>
  <c r="O101"/>
  <c r="T3"/>
  <c r="T7"/>
  <c r="T24"/>
  <c r="T62"/>
  <c r="T70"/>
  <c r="T2"/>
  <c r="T71"/>
  <c r="T72"/>
  <c r="T73"/>
  <c r="T74"/>
  <c r="T75"/>
  <c r="T76"/>
  <c r="T77"/>
  <c r="T78"/>
  <c r="T79"/>
  <c r="T80"/>
  <c r="T81"/>
  <c r="T82"/>
  <c r="T83"/>
  <c r="T84"/>
  <c r="T85"/>
  <c r="T86"/>
  <c r="T87"/>
  <c r="T88"/>
  <c r="T89"/>
  <c r="T90"/>
  <c r="T91"/>
  <c r="T92"/>
  <c r="T93"/>
  <c r="T94"/>
  <c r="T95"/>
  <c r="T96"/>
  <c r="T97"/>
  <c r="T100"/>
  <c r="T101"/>
  <c r="S3"/>
  <c r="S7"/>
  <c r="S24"/>
  <c r="S62"/>
  <c r="S70"/>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65"/>
  <c r="P65" s="1"/>
  <c r="N9"/>
  <c r="P9" s="1"/>
  <c r="N11"/>
  <c r="P11" s="1"/>
  <c r="N12"/>
  <c r="P12" s="1"/>
  <c r="N13"/>
  <c r="P13" s="1"/>
  <c r="N66"/>
  <c r="P66" s="1"/>
  <c r="N67"/>
  <c r="P67" s="1"/>
  <c r="N68"/>
  <c r="P68" s="1"/>
  <c r="N14"/>
  <c r="P14" s="1"/>
  <c r="N15"/>
  <c r="P15" s="1"/>
  <c r="N16"/>
  <c r="P16" s="1"/>
  <c r="N17"/>
  <c r="P17" s="1"/>
  <c r="N18"/>
  <c r="P18" s="1"/>
  <c r="N20"/>
  <c r="P20" s="1"/>
  <c r="N21"/>
  <c r="P21" s="1"/>
  <c r="N22"/>
  <c r="P22" s="1"/>
  <c r="N23"/>
  <c r="P23" s="1"/>
  <c r="N24"/>
  <c r="P24" s="1"/>
  <c r="N25"/>
  <c r="P25" s="1"/>
  <c r="N26"/>
  <c r="P26" s="1"/>
  <c r="N27"/>
  <c r="P27" s="1"/>
  <c r="N28"/>
  <c r="P28" s="1"/>
  <c r="N29"/>
  <c r="P29" s="1"/>
  <c r="N30"/>
  <c r="P30" s="1"/>
  <c r="N31"/>
  <c r="N32"/>
  <c r="N33"/>
  <c r="P33" s="1"/>
  <c r="N34"/>
  <c r="P34" s="1"/>
  <c r="N69"/>
  <c r="P69" s="1"/>
  <c r="N35"/>
  <c r="P35" s="1"/>
  <c r="N36"/>
  <c r="P36" s="1"/>
  <c r="N37"/>
  <c r="P37" s="1"/>
  <c r="N38"/>
  <c r="N41"/>
  <c r="P41" s="1"/>
  <c r="N42"/>
  <c r="P42" s="1"/>
  <c r="N43"/>
  <c r="P43" s="1"/>
  <c r="N44"/>
  <c r="P44" s="1"/>
  <c r="N45"/>
  <c r="P45" s="1"/>
  <c r="N47"/>
  <c r="P47" s="1"/>
  <c r="N48"/>
  <c r="P48" s="1"/>
  <c r="N49"/>
  <c r="P49" s="1"/>
  <c r="N50"/>
  <c r="P50" s="1"/>
  <c r="N51"/>
  <c r="P51" s="1"/>
  <c r="N52"/>
  <c r="P52" s="1"/>
  <c r="N53"/>
  <c r="P53" s="1"/>
  <c r="N54"/>
  <c r="P54" s="1"/>
  <c r="N55"/>
  <c r="P55" s="1"/>
  <c r="N56"/>
  <c r="P56" s="1"/>
  <c r="N57"/>
  <c r="P57" s="1"/>
  <c r="N58"/>
  <c r="P58" s="1"/>
  <c r="N59"/>
  <c r="P59" s="1"/>
  <c r="N60"/>
  <c r="P60" s="1"/>
  <c r="N61"/>
  <c r="P61" s="1"/>
  <c r="N62"/>
  <c r="P62" s="1"/>
  <c r="N63"/>
  <c r="P63" s="1"/>
  <c r="N70"/>
  <c r="P70" s="1"/>
  <c r="N64"/>
  <c r="P64" s="1"/>
  <c r="N19"/>
  <c r="P19" s="1"/>
  <c r="S19" s="1"/>
  <c r="N46"/>
  <c r="P46" s="1"/>
  <c r="T46"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10" i="48"/>
  <c r="O11"/>
  <c r="O12"/>
  <c r="N10"/>
  <c r="N11"/>
  <c r="N12"/>
  <c r="J10"/>
  <c r="J11"/>
  <c r="J12"/>
  <c r="L10"/>
  <c r="L11"/>
  <c r="L12"/>
  <c r="K10"/>
  <c r="K11"/>
  <c r="K12"/>
  <c r="I2"/>
  <c r="K2" s="1"/>
  <c r="N2" s="1"/>
  <c r="I3"/>
  <c r="L3" s="1"/>
  <c r="I4"/>
  <c r="L4" s="1"/>
  <c r="I5"/>
  <c r="L5" s="1"/>
  <c r="I6"/>
  <c r="L6" s="1"/>
  <c r="I7"/>
  <c r="J7" s="1"/>
  <c r="I8"/>
  <c r="L8" s="1"/>
  <c r="I9"/>
  <c r="L9" s="1"/>
  <c r="I10"/>
  <c r="I11"/>
  <c r="I12"/>
  <c r="P38" i="1" l="1"/>
  <c r="J9" i="48"/>
  <c r="K9"/>
  <c r="E10" i="88"/>
  <c r="E31" s="1"/>
  <c r="F10"/>
  <c r="F31" s="1"/>
  <c r="P40" i="1"/>
  <c r="H10" i="88"/>
  <c r="H31" s="1"/>
  <c r="P39" i="1"/>
  <c r="S46"/>
  <c r="O46"/>
  <c r="T19"/>
  <c r="O19"/>
  <c r="O40"/>
  <c r="L7" i="48"/>
  <c r="K7"/>
  <c r="O7" s="1"/>
  <c r="O12" i="1"/>
  <c r="O38"/>
  <c r="J8" i="48"/>
  <c r="K8"/>
  <c r="M8" s="1"/>
  <c r="O2"/>
  <c r="J4"/>
  <c r="Q101" i="1"/>
  <c r="Q97"/>
  <c r="Q95"/>
  <c r="Q93"/>
  <c r="Q91"/>
  <c r="Q89"/>
  <c r="Q87"/>
  <c r="Q85"/>
  <c r="Q83"/>
  <c r="Q81"/>
  <c r="Q79"/>
  <c r="Q77"/>
  <c r="Q75"/>
  <c r="Q73"/>
  <c r="Q71"/>
  <c r="Q46"/>
  <c r="R46" s="1"/>
  <c r="Q64"/>
  <c r="Q63"/>
  <c r="Q61"/>
  <c r="Q59"/>
  <c r="Q57"/>
  <c r="Q55"/>
  <c r="Q53"/>
  <c r="Q51"/>
  <c r="Q49"/>
  <c r="Q47"/>
  <c r="Q44"/>
  <c r="Q42"/>
  <c r="Q40"/>
  <c r="Q37"/>
  <c r="Q35"/>
  <c r="R35" s="1"/>
  <c r="Q34"/>
  <c r="R34" s="1"/>
  <c r="Q30"/>
  <c r="Q28"/>
  <c r="Q26"/>
  <c r="Q24"/>
  <c r="Q22"/>
  <c r="Q20"/>
  <c r="Q17"/>
  <c r="Q15"/>
  <c r="Q68"/>
  <c r="Q66"/>
  <c r="Q12"/>
  <c r="Q10"/>
  <c r="Q65"/>
  <c r="Q7"/>
  <c r="Q3"/>
  <c r="Q100"/>
  <c r="Q96"/>
  <c r="Q94"/>
  <c r="Q92"/>
  <c r="Q90"/>
  <c r="Q88"/>
  <c r="Q86"/>
  <c r="Q84"/>
  <c r="Q82"/>
  <c r="Q80"/>
  <c r="Q78"/>
  <c r="Q76"/>
  <c r="Q74"/>
  <c r="Q72"/>
  <c r="Q2"/>
  <c r="Q19"/>
  <c r="R19" s="1"/>
  <c r="U19" s="1"/>
  <c r="Q70"/>
  <c r="Q62"/>
  <c r="Q60"/>
  <c r="Q58"/>
  <c r="Q56"/>
  <c r="Q54"/>
  <c r="Q52"/>
  <c r="Q50"/>
  <c r="Q48"/>
  <c r="Q45"/>
  <c r="Q43"/>
  <c r="Q41"/>
  <c r="Q38"/>
  <c r="Q36"/>
  <c r="Q69"/>
  <c r="R69" s="1"/>
  <c r="Q33"/>
  <c r="Q29"/>
  <c r="Q27"/>
  <c r="Q25"/>
  <c r="Q23"/>
  <c r="Q21"/>
  <c r="Q18"/>
  <c r="Q16"/>
  <c r="Q14"/>
  <c r="Q67"/>
  <c r="Q13"/>
  <c r="Q11"/>
  <c r="Q9"/>
  <c r="Q8"/>
  <c r="Q6"/>
  <c r="Q4"/>
  <c r="Q39"/>
  <c r="O60"/>
  <c r="O58"/>
  <c r="O56"/>
  <c r="O54"/>
  <c r="O52"/>
  <c r="O50"/>
  <c r="O48"/>
  <c r="O45"/>
  <c r="O43"/>
  <c r="O41"/>
  <c r="O37"/>
  <c r="O30"/>
  <c r="O28"/>
  <c r="O26"/>
  <c r="O22"/>
  <c r="O20"/>
  <c r="O17"/>
  <c r="O15"/>
  <c r="O68"/>
  <c r="O66"/>
  <c r="O10"/>
  <c r="O65"/>
  <c r="O4"/>
  <c r="R100"/>
  <c r="U100" s="1"/>
  <c r="R96"/>
  <c r="U96" s="1"/>
  <c r="R94"/>
  <c r="U94" s="1"/>
  <c r="R92"/>
  <c r="U92" s="1"/>
  <c r="R90"/>
  <c r="U90" s="1"/>
  <c r="R88"/>
  <c r="U88" s="1"/>
  <c r="R86"/>
  <c r="U86" s="1"/>
  <c r="R84"/>
  <c r="U84" s="1"/>
  <c r="R82"/>
  <c r="U82" s="1"/>
  <c r="R80"/>
  <c r="U80" s="1"/>
  <c r="R78"/>
  <c r="U78" s="1"/>
  <c r="R76"/>
  <c r="U76" s="1"/>
  <c r="R74"/>
  <c r="U74" s="1"/>
  <c r="R72"/>
  <c r="U72" s="1"/>
  <c r="R2"/>
  <c r="U2" s="1"/>
  <c r="R70"/>
  <c r="U70" s="1"/>
  <c r="R62"/>
  <c r="U62" s="1"/>
  <c r="R48"/>
  <c r="R24"/>
  <c r="U24" s="1"/>
  <c r="R7"/>
  <c r="U7" s="1"/>
  <c r="R3"/>
  <c r="U3" s="1"/>
  <c r="S35"/>
  <c r="S34"/>
  <c r="T35"/>
  <c r="T34"/>
  <c r="O64"/>
  <c r="O63"/>
  <c r="O61"/>
  <c r="O59"/>
  <c r="O55"/>
  <c r="O53"/>
  <c r="O51"/>
  <c r="O49"/>
  <c r="O47"/>
  <c r="O44"/>
  <c r="O42"/>
  <c r="O36"/>
  <c r="O33"/>
  <c r="O29"/>
  <c r="O27"/>
  <c r="O25"/>
  <c r="O23"/>
  <c r="O18"/>
  <c r="O16"/>
  <c r="O14"/>
  <c r="O67"/>
  <c r="O13"/>
  <c r="O11"/>
  <c r="O9"/>
  <c r="O8"/>
  <c r="O6"/>
  <c r="R101"/>
  <c r="U101" s="1"/>
  <c r="R97"/>
  <c r="U97" s="1"/>
  <c r="R95"/>
  <c r="U95" s="1"/>
  <c r="R93"/>
  <c r="U93" s="1"/>
  <c r="R91"/>
  <c r="U91" s="1"/>
  <c r="R89"/>
  <c r="U89" s="1"/>
  <c r="R87"/>
  <c r="U87" s="1"/>
  <c r="R85"/>
  <c r="U85" s="1"/>
  <c r="R83"/>
  <c r="U83" s="1"/>
  <c r="R81"/>
  <c r="U81" s="1"/>
  <c r="R79"/>
  <c r="U79" s="1"/>
  <c r="R77"/>
  <c r="U77" s="1"/>
  <c r="R75"/>
  <c r="U75" s="1"/>
  <c r="R73"/>
  <c r="U73" s="1"/>
  <c r="R71"/>
  <c r="U71" s="1"/>
  <c r="R64"/>
  <c r="R59"/>
  <c r="R57"/>
  <c r="R47"/>
  <c r="R44"/>
  <c r="R21"/>
  <c r="S57"/>
  <c r="S69"/>
  <c r="S21"/>
  <c r="T57"/>
  <c r="T69"/>
  <c r="T21"/>
  <c r="J6" i="48"/>
  <c r="J3"/>
  <c r="J5"/>
  <c r="J2"/>
  <c r="K6"/>
  <c r="M6" s="1"/>
  <c r="K4"/>
  <c r="M4" s="1"/>
  <c r="K5"/>
  <c r="M5" s="1"/>
  <c r="K3"/>
  <c r="M3" s="1"/>
  <c r="L2"/>
  <c r="M2" s="1"/>
  <c r="P2" s="1"/>
  <c r="H32" i="1"/>
  <c r="O32" s="1"/>
  <c r="H31"/>
  <c r="O31" s="1"/>
  <c r="H5"/>
  <c r="H46" i="2"/>
  <c r="H58"/>
  <c r="H19"/>
  <c r="H20"/>
  <c r="H98"/>
  <c r="H103"/>
  <c r="H111"/>
  <c r="H112"/>
  <c r="AO2" i="1"/>
  <c r="AO3"/>
  <c r="AO4"/>
  <c r="AO5"/>
  <c r="AO6"/>
  <c r="AO7"/>
  <c r="AO8"/>
  <c r="AO10"/>
  <c r="AO11"/>
  <c r="AO9"/>
  <c r="M9" i="48"/>
  <c r="M10"/>
  <c r="P10" s="1"/>
  <c r="M11"/>
  <c r="P11" s="1"/>
  <c r="M12"/>
  <c r="P12" s="1"/>
  <c r="R39" i="1" l="1"/>
  <c r="R38"/>
  <c r="O9" i="48"/>
  <c r="N9"/>
  <c r="U46" i="1"/>
  <c r="N7" i="48"/>
  <c r="G10" i="88"/>
  <c r="M7" i="48"/>
  <c r="P7" s="1"/>
  <c r="Q31" i="1"/>
  <c r="Q32"/>
  <c r="P31"/>
  <c r="R31" s="1"/>
  <c r="P32"/>
  <c r="T32" s="1"/>
  <c r="N8" i="48"/>
  <c r="O8"/>
  <c r="N3"/>
  <c r="O3"/>
  <c r="N4"/>
  <c r="O4"/>
  <c r="N5"/>
  <c r="O5"/>
  <c r="N6"/>
  <c r="O6"/>
  <c r="N5" i="1"/>
  <c r="O5" s="1"/>
  <c r="R6"/>
  <c r="T6"/>
  <c r="S6"/>
  <c r="R8"/>
  <c r="T8"/>
  <c r="S8"/>
  <c r="R9"/>
  <c r="T9"/>
  <c r="S9"/>
  <c r="R11"/>
  <c r="T11"/>
  <c r="S11"/>
  <c r="R13"/>
  <c r="T13"/>
  <c r="S13"/>
  <c r="R67"/>
  <c r="T67"/>
  <c r="S67"/>
  <c r="R14"/>
  <c r="T14"/>
  <c r="S14"/>
  <c r="R16"/>
  <c r="T16"/>
  <c r="S16"/>
  <c r="R18"/>
  <c r="T18"/>
  <c r="S18"/>
  <c r="R23"/>
  <c r="T23"/>
  <c r="S23"/>
  <c r="R25"/>
  <c r="T25"/>
  <c r="S25"/>
  <c r="R27"/>
  <c r="T27"/>
  <c r="S27"/>
  <c r="R29"/>
  <c r="T29"/>
  <c r="S29"/>
  <c r="R33"/>
  <c r="T33"/>
  <c r="S33"/>
  <c r="R36"/>
  <c r="T36"/>
  <c r="S36"/>
  <c r="T38"/>
  <c r="S38"/>
  <c r="R40"/>
  <c r="T40"/>
  <c r="S40"/>
  <c r="R42"/>
  <c r="T42"/>
  <c r="S42"/>
  <c r="T44"/>
  <c r="S44"/>
  <c r="T47"/>
  <c r="S47"/>
  <c r="R49"/>
  <c r="T49"/>
  <c r="S49"/>
  <c r="R51"/>
  <c r="T51"/>
  <c r="S51"/>
  <c r="R53"/>
  <c r="T53"/>
  <c r="S53"/>
  <c r="R55"/>
  <c r="T55"/>
  <c r="S55"/>
  <c r="T59"/>
  <c r="S59"/>
  <c r="R61"/>
  <c r="T61"/>
  <c r="S61"/>
  <c r="R63"/>
  <c r="T63"/>
  <c r="S63"/>
  <c r="T64"/>
  <c r="S64"/>
  <c r="R41"/>
  <c r="T41"/>
  <c r="S41"/>
  <c r="R43"/>
  <c r="T43"/>
  <c r="S43"/>
  <c r="R45"/>
  <c r="T45"/>
  <c r="S45"/>
  <c r="T48"/>
  <c r="S48"/>
  <c r="R50"/>
  <c r="T50"/>
  <c r="S50"/>
  <c r="R52"/>
  <c r="T52"/>
  <c r="S52"/>
  <c r="R54"/>
  <c r="T54"/>
  <c r="S54"/>
  <c r="R56"/>
  <c r="T56"/>
  <c r="S56"/>
  <c r="R58"/>
  <c r="T58"/>
  <c r="S58"/>
  <c r="R60"/>
  <c r="T60"/>
  <c r="S60"/>
  <c r="U21"/>
  <c r="U57"/>
  <c r="U34"/>
  <c r="R4"/>
  <c r="S4"/>
  <c r="R65"/>
  <c r="T65"/>
  <c r="S65"/>
  <c r="R10"/>
  <c r="T10"/>
  <c r="S10"/>
  <c r="R12"/>
  <c r="T12"/>
  <c r="S12"/>
  <c r="R66"/>
  <c r="T66"/>
  <c r="S66"/>
  <c r="R68"/>
  <c r="T68"/>
  <c r="S68"/>
  <c r="R15"/>
  <c r="T15"/>
  <c r="S15"/>
  <c r="R17"/>
  <c r="T17"/>
  <c r="S17"/>
  <c r="R20"/>
  <c r="T20"/>
  <c r="S20"/>
  <c r="R22"/>
  <c r="T22"/>
  <c r="S22"/>
  <c r="R26"/>
  <c r="T26"/>
  <c r="S26"/>
  <c r="R28"/>
  <c r="T28"/>
  <c r="S28"/>
  <c r="R30"/>
  <c r="T30"/>
  <c r="S30"/>
  <c r="R37"/>
  <c r="T37"/>
  <c r="S37"/>
  <c r="T39"/>
  <c r="S39"/>
  <c r="U69"/>
  <c r="U35"/>
  <c r="H99" i="2"/>
  <c r="H33"/>
  <c r="H71"/>
  <c r="H28"/>
  <c r="H29"/>
  <c r="H40"/>
  <c r="H41"/>
  <c r="H30"/>
  <c r="H31"/>
  <c r="H34"/>
  <c r="H42"/>
  <c r="H10"/>
  <c r="H43"/>
  <c r="H21"/>
  <c r="H44"/>
  <c r="H12"/>
  <c r="H48"/>
  <c r="H72"/>
  <c r="H13"/>
  <c r="H24"/>
  <c r="H36"/>
  <c r="H82"/>
  <c r="H49"/>
  <c r="H50"/>
  <c r="H14"/>
  <c r="H51"/>
  <c r="H79"/>
  <c r="H80"/>
  <c r="H53"/>
  <c r="H81"/>
  <c r="H55"/>
  <c r="H56"/>
  <c r="H88"/>
  <c r="H100"/>
  <c r="H15"/>
  <c r="H17"/>
  <c r="H22"/>
  <c r="H18"/>
  <c r="H38"/>
  <c r="H57"/>
  <c r="H74"/>
  <c r="H75"/>
  <c r="H101"/>
  <c r="H83"/>
  <c r="H76"/>
  <c r="H59"/>
  <c r="H102"/>
  <c r="H61"/>
  <c r="H62"/>
  <c r="H63"/>
  <c r="H64"/>
  <c r="H77"/>
  <c r="H104"/>
  <c r="H89"/>
  <c r="H66"/>
  <c r="H105"/>
  <c r="H106"/>
  <c r="H68"/>
  <c r="H69"/>
  <c r="H25"/>
  <c r="H108"/>
  <c r="H109"/>
  <c r="H39"/>
  <c r="H84"/>
  <c r="H85"/>
  <c r="H86"/>
  <c r="H35"/>
  <c r="H78"/>
  <c r="H87"/>
  <c r="H110"/>
  <c r="H27"/>
  <c r="P9" i="48" l="1"/>
  <c r="J38" i="88"/>
  <c r="K38" s="1"/>
  <c r="J35"/>
  <c r="K35" s="1"/>
  <c r="J36"/>
  <c r="K36" s="1"/>
  <c r="J37"/>
  <c r="K37" s="1"/>
  <c r="R32" i="1"/>
  <c r="G31" i="88"/>
  <c r="S32" i="1"/>
  <c r="T31"/>
  <c r="S31"/>
  <c r="P3" i="48"/>
  <c r="P6"/>
  <c r="P5"/>
  <c r="P8"/>
  <c r="P4"/>
  <c r="U48" i="1"/>
  <c r="U47"/>
  <c r="U39"/>
  <c r="U64"/>
  <c r="U59"/>
  <c r="U44"/>
  <c r="U38"/>
  <c r="P5"/>
  <c r="Q5"/>
  <c r="U37"/>
  <c r="U30"/>
  <c r="U26"/>
  <c r="U20"/>
  <c r="U15"/>
  <c r="U66"/>
  <c r="U10"/>
  <c r="U4"/>
  <c r="U60"/>
  <c r="U56"/>
  <c r="U52"/>
  <c r="U43"/>
  <c r="U61"/>
  <c r="U55"/>
  <c r="U51"/>
  <c r="U42"/>
  <c r="U33"/>
  <c r="U29"/>
  <c r="U25"/>
  <c r="U18"/>
  <c r="U14"/>
  <c r="U13"/>
  <c r="U9"/>
  <c r="U6"/>
  <c r="U28"/>
  <c r="U22"/>
  <c r="U17"/>
  <c r="U68"/>
  <c r="U12"/>
  <c r="U65"/>
  <c r="U58"/>
  <c r="U54"/>
  <c r="U50"/>
  <c r="U45"/>
  <c r="U41"/>
  <c r="U63"/>
  <c r="U53"/>
  <c r="U49"/>
  <c r="U40"/>
  <c r="U36"/>
  <c r="U27"/>
  <c r="U23"/>
  <c r="U16"/>
  <c r="U67"/>
  <c r="U11"/>
  <c r="U8"/>
  <c r="U32" l="1"/>
  <c r="U31"/>
  <c r="K61" i="88"/>
  <c r="E64" s="1"/>
  <c r="J10"/>
  <c r="J31" s="1"/>
  <c r="I10"/>
  <c r="R5" i="1"/>
  <c r="T5"/>
  <c r="S5"/>
  <c r="K64" i="88" l="1"/>
  <c r="K73" s="1"/>
  <c r="I31"/>
  <c r="K10"/>
  <c r="K31" s="1"/>
  <c r="K63" s="1"/>
  <c r="U5" i="1"/>
  <c r="K65" i="88" l="1"/>
  <c r="K70" s="1"/>
  <c r="K72" s="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45" authorId="0">
      <text>
        <r>
          <rPr>
            <b/>
            <sz val="8"/>
            <color indexed="81"/>
            <rFont val="Tahoma"/>
            <family val="2"/>
          </rPr>
          <t>Roger Wilson:</t>
        </r>
        <r>
          <rPr>
            <sz val="8"/>
            <color indexed="81"/>
            <rFont val="Tahoma"/>
            <family val="2"/>
          </rPr>
          <t xml:space="preserve">
Original $101,955
</t>
        </r>
      </text>
    </comment>
    <comment ref="E52"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<sst xmlns="http://schemas.openxmlformats.org/spreadsheetml/2006/main" count="1145" uniqueCount="504">
  <si>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</si>
  <si>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</si>
  <si>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</si>
  <si>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</si>
  <si>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</si>
  <si>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</si>
  <si>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</si>
  <si>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</si>
  <si>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</si>
  <si>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</si>
  <si>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</si>
  <si>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</si>
  <si>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</si>
  <si>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</si>
  <si>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</si>
  <si>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</si>
  <si>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</si>
  <si>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</si>
  <si>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</si>
  <si>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</si>
  <si>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Bale Lg Sq 1200 lb</t>
  </si>
  <si>
    <t>Bicep II Magnum</t>
  </si>
  <si>
    <t>Insecticide</t>
  </si>
  <si>
    <t>Chop, Haul, Pack</t>
  </si>
  <si>
    <t>Corn</t>
  </si>
  <si>
    <t>Corn Bt ECB</t>
  </si>
  <si>
    <t>Corn Bt ECB&amp;RW</t>
  </si>
  <si>
    <t>Crop Oil Concentrate</t>
  </si>
  <si>
    <t>Dicamba</t>
  </si>
  <si>
    <t>Dry 4 Points Removed</t>
  </si>
  <si>
    <t>Edible Beans</t>
  </si>
  <si>
    <t>Elec Connect Fees</t>
  </si>
  <si>
    <t>Other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</si>
  <si>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</si>
  <si>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</si>
  <si>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</si>
  <si>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</si>
  <si>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</si>
  <si>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</si>
  <si>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</si>
  <si>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</si>
  <si>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</si>
  <si>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</si>
  <si>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</si>
  <si>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</si>
  <si>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</si>
  <si>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</si>
  <si>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</si>
  <si>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</si>
  <si>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</si>
  <si>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</si>
  <si>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</si>
  <si>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</si>
  <si>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</si>
  <si>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</si>
  <si>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</si>
  <si>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</si>
  <si>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</si>
  <si>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</si>
  <si>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</si>
  <si>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</si>
  <si>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</si>
  <si>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</si>
  <si>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</si>
  <si>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</si>
  <si>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</si>
  <si>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</si>
  <si>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</si>
  <si>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</si>
  <si>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</si>
  <si>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</si>
  <si>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</si>
  <si>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</si>
  <si>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</si>
  <si>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</si>
  <si>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</si>
  <si>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</si>
  <si>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</si>
  <si>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</si>
  <si>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</si>
  <si>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</si>
  <si>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</si>
  <si>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</si>
  <si>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</si>
  <si>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</si>
  <si>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</si>
  <si>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</si>
  <si>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</si>
  <si>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</si>
  <si>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</si>
  <si>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</si>
  <si>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</si>
  <si>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</si>
  <si>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</si>
  <si>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</si>
  <si>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</si>
  <si>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</si>
  <si>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</si>
  <si>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</si>
  <si>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</si>
  <si>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</si>
  <si>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</si>
  <si>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</si>
  <si>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</si>
  <si>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</si>
  <si>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Grazing</t>
  </si>
  <si>
    <t>AUM</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</si>
  <si>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</si>
  <si>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</si>
  <si>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</si>
  <si>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</si>
  <si>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</si>
  <si>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</si>
  <si>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</si>
  <si>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</si>
  <si>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</si>
  <si>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</si>
  <si>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</si>
  <si>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</si>
  <si>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</si>
  <si>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</si>
  <si>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</si>
  <si>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</si>
  <si>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</si>
  <si>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</si>
  <si>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</si>
  <si>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</si>
  <si>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</si>
  <si>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</si>
  <si>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</si>
  <si>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</si>
  <si>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</si>
  <si>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</si>
  <si>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</si>
  <si>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</si>
  <si>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</si>
  <si>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</si>
  <si>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</si>
  <si>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</si>
  <si>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</si>
  <si>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</si>
  <si>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</si>
  <si>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</si>
  <si>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</si>
  <si>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</si>
  <si>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</si>
  <si>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</si>
  <si>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</si>
  <si>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</si>
  <si>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</si>
  <si>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</si>
  <si>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</si>
  <si>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</si>
  <si>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</si>
  <si>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</si>
  <si>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</si>
  <si>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</si>
  <si>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</si>
  <si>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</si>
  <si>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</si>
  <si>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</si>
  <si>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</si>
  <si>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</si>
  <si>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</si>
  <si>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</si>
  <si>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</si>
  <si>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</si>
  <si>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</si>
  <si>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</si>
  <si>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</si>
  <si>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</si>
  <si>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</si>
  <si>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</si>
  <si>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</si>
  <si>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</si>
  <si>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</si>
  <si>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</si>
  <si>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</si>
  <si>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</si>
  <si>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</si>
  <si>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</si>
  <si>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</si>
  <si>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</si>
  <si>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</si>
  <si>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</si>
  <si>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</si>
  <si>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</si>
  <si>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</si>
  <si>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</si>
  <si>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</si>
  <si>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</si>
  <si>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</si>
  <si>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</si>
  <si>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</si>
  <si>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</si>
  <si>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</si>
  <si>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</si>
  <si>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</si>
  <si>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</si>
  <si>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</si>
  <si>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</si>
  <si>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</si>
  <si>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</si>
  <si>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</si>
  <si>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</si>
  <si>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</si>
  <si>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</si>
  <si>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</si>
  <si>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</si>
  <si>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</si>
  <si>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</si>
  <si>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</si>
  <si>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</si>
  <si>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</si>
  <si>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</si>
  <si>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</si>
  <si>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</si>
  <si>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</si>
  <si>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</si>
  <si>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</si>
  <si>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</si>
  <si>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</si>
  <si>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</si>
  <si>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</si>
  <si>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</si>
  <si>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</si>
  <si>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</si>
  <si>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</si>
  <si>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</si>
  <si>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</si>
  <si>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</si>
  <si>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</si>
  <si>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</si>
  <si>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</si>
  <si>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</si>
  <si>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</si>
  <si>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</si>
  <si>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</si>
  <si>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</si>
  <si>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</si>
  <si>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</si>
  <si>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</si>
  <si>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</si>
  <si>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</si>
  <si>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</si>
  <si>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</si>
  <si>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</si>
  <si>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</si>
  <si>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</si>
  <si>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</si>
  <si>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</si>
  <si>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</si>
  <si>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</si>
  <si>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</si>
  <si>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</si>
  <si>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</si>
  <si>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</si>
  <si>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</si>
  <si>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</si>
  <si>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</si>
  <si>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</si>
  <si>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</si>
  <si>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</si>
  <si>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</si>
  <si>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</si>
  <si>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</si>
  <si>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</si>
  <si>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</si>
  <si>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</si>
  <si>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</si>
  <si>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</si>
  <si>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</si>
  <si>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</si>
  <si>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</si>
  <si>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</si>
  <si>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</si>
  <si>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</si>
  <si>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</si>
  <si>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</si>
  <si>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</si>
  <si>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</si>
  <si>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</si>
  <si>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</si>
  <si>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</si>
  <si>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</si>
  <si>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</si>
  <si>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</si>
  <si>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</si>
  <si>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</si>
  <si>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</si>
  <si>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</si>
  <si>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</si>
  <si>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</si>
  <si>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Combine dryland</t>
  </si>
  <si>
    <t>Disc</t>
  </si>
  <si>
    <t>Ditch Irrigation</t>
  </si>
  <si>
    <t>Double Windrows</t>
  </si>
  <si>
    <t>Drill</t>
  </si>
  <si>
    <t>Dry Grain</t>
  </si>
  <si>
    <t>Fallow Master</t>
  </si>
  <si>
    <t>Field Cultivation</t>
  </si>
  <si>
    <t>Harrow</t>
  </si>
  <si>
    <t>Hill/Ditch</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</si>
  <si>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</si>
  <si>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</si>
  <si>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</si>
  <si>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</si>
  <si>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</si>
  <si>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</si>
  <si>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</si>
  <si>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</si>
  <si>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</si>
  <si>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</si>
  <si>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</si>
  <si>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</si>
  <si>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</si>
  <si>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</si>
  <si>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</si>
  <si>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</si>
  <si>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</si>
  <si>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</si>
  <si>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</si>
  <si>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</si>
  <si>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</si>
  <si>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</si>
  <si>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</si>
  <si>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</si>
  <si>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</si>
  <si>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</si>
  <si>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</si>
  <si>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</si>
  <si>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</si>
  <si>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</si>
  <si>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</si>
  <si>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</si>
  <si>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</si>
  <si>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</si>
  <si>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</si>
  <si>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</si>
  <si>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</si>
  <si>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</si>
  <si>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</si>
  <si>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</si>
  <si>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</si>
  <si>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</si>
  <si>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</si>
  <si>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</si>
  <si>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</si>
  <si>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</si>
  <si>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</si>
  <si>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</si>
  <si>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</si>
  <si>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</si>
  <si>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</si>
  <si>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</si>
  <si>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</si>
  <si>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</si>
  <si>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</si>
  <si>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</si>
  <si>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</si>
  <si>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</si>
  <si>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</si>
  <si>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</si>
  <si>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</si>
  <si>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</si>
  <si>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</si>
  <si>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</si>
  <si>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</si>
  <si>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</si>
  <si>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</si>
  <si>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</si>
  <si>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</si>
  <si>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</si>
  <si>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</si>
  <si>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</si>
  <si>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</si>
  <si>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</si>
  <si>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</si>
  <si>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</si>
  <si>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</si>
  <si>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</si>
  <si>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</si>
  <si>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</si>
  <si>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</si>
  <si>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</si>
  <si>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</si>
  <si>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</si>
  <si>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</si>
  <si>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</si>
  <si>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</si>
  <si>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</si>
  <si>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</si>
  <si>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</si>
  <si>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</si>
  <si>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</si>
  <si>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</si>
  <si>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</si>
  <si>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</si>
  <si>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</si>
  <si>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</si>
  <si>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</si>
  <si>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</si>
  <si>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</si>
  <si>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</si>
  <si>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</si>
  <si>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</si>
  <si>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</si>
  <si>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</si>
  <si>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</si>
  <si>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</si>
  <si>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</si>
  <si>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</si>
  <si>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</si>
  <si>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</si>
  <si>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</si>
  <si>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</si>
  <si>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</si>
  <si>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</si>
  <si>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</si>
  <si>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</si>
  <si>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Corn SmartStax</t>
  </si>
  <si>
    <t>Haul Grain (Dry Beans)</t>
  </si>
  <si>
    <t>Total Cost per Acre Including Overhead</t>
  </si>
  <si>
    <t>Warrior II/Zeon</t>
  </si>
  <si>
    <t>Spray (on disc)</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</si>
  <si>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</si>
  <si>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</si>
  <si>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</si>
  <si>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</si>
  <si>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</si>
  <si>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bushel</t>
  </si>
  <si>
    <t>gallon</t>
  </si>
  <si>
    <t>pound</t>
  </si>
  <si>
    <t>ounce</t>
  </si>
  <si>
    <t>pint</t>
  </si>
  <si>
    <t>quart</t>
  </si>
  <si>
    <t>hour</t>
  </si>
  <si>
    <t>acre-inch</t>
  </si>
  <si>
    <t>lbs N</t>
  </si>
  <si>
    <t>Corrugate</t>
  </si>
  <si>
    <t>32-0-0</t>
  </si>
  <si>
    <t>Basagran</t>
  </si>
  <si>
    <t>Asana XL</t>
  </si>
  <si>
    <t>Cut Beans</t>
  </si>
  <si>
    <t>Rod Beans</t>
  </si>
  <si>
    <t>Scouting Irrigated Corn</t>
  </si>
  <si>
    <t>Scouting Irrigated SB</t>
  </si>
  <si>
    <t>Scouting Drybeans</t>
  </si>
  <si>
    <t>Scouting Sugar Beets</t>
  </si>
  <si>
    <t>Scouting Grain Sorghum</t>
  </si>
  <si>
    <t>Scouting Wheat</t>
  </si>
  <si>
    <t>Irrigated Corn Premium</t>
  </si>
  <si>
    <t>Irrigated Soybean Premium</t>
  </si>
  <si>
    <t>Drybean Premium</t>
  </si>
  <si>
    <t>Sugar Beets Premium</t>
  </si>
  <si>
    <t>Grain Sorghum Premium</t>
  </si>
  <si>
    <t>Wheat Premium</t>
  </si>
  <si>
    <t>Overhead Cost per Acre</t>
  </si>
  <si>
    <t>none</t>
  </si>
  <si>
    <t>ai</t>
  </si>
  <si>
    <t>Acre</t>
  </si>
  <si>
    <t>Raptor</t>
  </si>
  <si>
    <t>Outlook</t>
  </si>
  <si>
    <t>Prowl H2O</t>
  </si>
  <si>
    <t>Copper</t>
  </si>
  <si>
    <t>Budget 31. Pasture</t>
  </si>
  <si>
    <t>Mustang Max EC</t>
  </si>
  <si>
    <t>Brigade 2EC</t>
  </si>
  <si>
    <t>Index</t>
  </si>
  <si>
    <t>/ Gal.</t>
  </si>
  <si>
    <t>Large Tractor</t>
  </si>
  <si>
    <t>Medium Tractor</t>
  </si>
  <si>
    <t>Small Tractor</t>
  </si>
  <si>
    <t xml:space="preserve">Forage harvester(SP) </t>
  </si>
  <si>
    <t xml:space="preserve">21-0-0-26S   </t>
  </si>
  <si>
    <t>Aim 2EC</t>
  </si>
  <si>
    <t>Authority First/Sonic</t>
  </si>
  <si>
    <t>Dryland (State)</t>
  </si>
  <si>
    <t>Scouting Dryland Corn</t>
  </si>
  <si>
    <t>Dryland Corn Premium</t>
  </si>
  <si>
    <t>Combine Dryland Corn</t>
  </si>
  <si>
    <t>Dryland (Southwest)</t>
  </si>
  <si>
    <t>Combine Dryland SG</t>
  </si>
  <si>
    <t>Scouting Dryland Soybeans</t>
  </si>
  <si>
    <t>Dryland Soybean Premium</t>
  </si>
  <si>
    <t>Combine Dryland SB</t>
  </si>
  <si>
    <t>Dryland (Panhandle)</t>
  </si>
  <si>
    <t>Combine Dryland Sunflowers</t>
  </si>
  <si>
    <t>Ally Extra SG</t>
  </si>
  <si>
    <t>Headline AMP</t>
  </si>
  <si>
    <t>The following individuals contributed to these budgets in their specialty area</t>
  </si>
  <si>
    <t>Robert Wright</t>
  </si>
  <si>
    <t>rwright@unl.edu</t>
  </si>
  <si>
    <t>tjackson3@unl.edu</t>
  </si>
  <si>
    <t>Tamra Jackson</t>
  </si>
  <si>
    <t>Loren Giesler</t>
  </si>
  <si>
    <t>lgiesler@unl.edu</t>
  </si>
  <si>
    <t>Stephen Wegulo</t>
  </si>
  <si>
    <t>swegulo2@unl.edu</t>
  </si>
  <si>
    <t>Pivot Irrigated,  800 GPM 35 PSI</t>
  </si>
  <si>
    <t>Research and Extension Entomologist</t>
  </si>
  <si>
    <t>Plant Pathologist - Wheat and Ornamental</t>
  </si>
  <si>
    <t>Plant Pathologist - Corn and Sorghum</t>
  </si>
  <si>
    <t>Plant Pathologist - Soybean and Turf</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</si>
</sst>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8">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21">
    <xf numFmtId="0" fontId="0" fillId="0" borderId="0" xfId="0"/>
    <xf numFmtId="0" fontId="5" fillId="0" borderId="0" xfId="0" applyFont="1" applyFill="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0" fontId="0" fillId="0" borderId="0" xfId="0" applyFill="1"/>
    <xf numFmtId="0" fontId="4" fillId="0" borderId="0" xfId="0" applyFont="1" applyFill="1"/>
    <xf numFmtId="0" fontId="0" fillId="4" borderId="0" xfId="0" applyFill="1"/>
    <xf numFmtId="8" fontId="0" fillId="4" borderId="0" xfId="0" applyNumberFormat="1" applyFill="1"/>
    <xf numFmtId="0" fontId="5" fillId="4" borderId="14" xfId="0" applyFont="1" applyFill="1" applyBorder="1" applyAlignment="1">
      <alignment wrapText="1"/>
    </xf>
    <xf numFmtId="0" fontId="5" fillId="4" borderId="14" xfId="0" applyFont="1" applyFill="1" applyBorder="1"/>
    <xf numFmtId="0" fontId="0" fillId="4" borderId="14" xfId="0" applyFill="1" applyBorder="1"/>
    <xf numFmtId="0" fontId="25" fillId="4" borderId="0" xfId="0" applyFont="1" applyFill="1" applyAlignment="1">
      <alignment wrapText="1"/>
    </xf>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0" fillId="0" borderId="4" xfId="0" applyFill="1" applyBorder="1"/>
    <xf numFmtId="0" fontId="0" fillId="0" borderId="17"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3"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4" xfId="1" applyFont="1" applyFill="1" applyBorder="1" applyProtection="1">
      <protection locked="0"/>
    </xf>
    <xf numFmtId="165" fontId="5" fillId="5" borderId="14" xfId="1" applyNumberFormat="1" applyFont="1" applyFill="1" applyBorder="1" applyProtection="1">
      <protection locked="0"/>
    </xf>
    <xf numFmtId="0" fontId="5" fillId="5" borderId="14" xfId="0" applyFont="1" applyFill="1" applyBorder="1" applyAlignment="1" applyProtection="1">
      <alignment wrapText="1"/>
      <protection locked="0"/>
    </xf>
    <xf numFmtId="0" fontId="0" fillId="5" borderId="14" xfId="0" applyFill="1" applyBorder="1" applyProtection="1">
      <protection locked="0"/>
    </xf>
    <xf numFmtId="10" fontId="5" fillId="5" borderId="14" xfId="2" applyNumberFormat="1" applyFont="1" applyFill="1" applyBorder="1" applyProtection="1">
      <protection locked="0"/>
    </xf>
    <xf numFmtId="43" fontId="5" fillId="5" borderId="14" xfId="3" applyFont="1" applyFill="1" applyBorder="1" applyProtection="1">
      <protection locked="0"/>
    </xf>
    <xf numFmtId="0" fontId="5" fillId="0" borderId="14" xfId="0" applyFont="1" applyFill="1" applyBorder="1" applyAlignment="1" applyProtection="1">
      <alignment wrapText="1"/>
    </xf>
    <xf numFmtId="0" fontId="5" fillId="0" borderId="14" xfId="0" quotePrefix="1" applyFont="1" applyFill="1" applyBorder="1" applyProtection="1"/>
    <xf numFmtId="0" fontId="0" fillId="0" borderId="14" xfId="0" applyFill="1" applyBorder="1" applyProtection="1"/>
    <xf numFmtId="0" fontId="5"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0" fillId="5" borderId="0" xfId="0" applyNumberFormat="1" applyFont="1" applyFill="1" applyAlignment="1" applyProtection="1">
      <alignment vertical="top" wrapText="1"/>
      <protection locked="0"/>
    </xf>
    <xf numFmtId="9" fontId="20"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20"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Alignment="1" applyProtection="1">
      <alignment vertical="top" wrapText="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0" xfId="0" applyFont="1" applyFill="1" applyAlignment="1">
      <alignment vertical="top" wrapText="1"/>
    </xf>
    <xf numFmtId="0" fontId="20" fillId="5" borderId="0" xfId="0" applyFont="1" applyFill="1" applyAlignment="1">
      <alignment vertical="top" wrapText="1"/>
    </xf>
    <xf numFmtId="2" fontId="20" fillId="5" borderId="0" xfId="0" applyNumberFormat="1" applyFont="1" applyFill="1" applyAlignment="1">
      <alignment vertical="top" wrapText="1"/>
    </xf>
    <xf numFmtId="9" fontId="20" fillId="5" borderId="0" xfId="0" applyNumberFormat="1" applyFont="1" applyFill="1" applyAlignment="1">
      <alignment vertical="top" wrapText="1"/>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0" fontId="0" fillId="5" borderId="2" xfId="0" applyFont="1" applyFill="1" applyBorder="1" applyAlignment="1">
      <alignment vertical="top" wrapText="1"/>
    </xf>
    <xf numFmtId="44" fontId="5" fillId="0" borderId="14" xfId="1" applyFont="1" applyFill="1" applyBorder="1" applyProtection="1">
      <protection locked="0"/>
    </xf>
    <xf numFmtId="0" fontId="0" fillId="5" borderId="11" xfId="0" applyFill="1" applyBorder="1" applyAlignment="1">
      <alignment vertical="top"/>
    </xf>
    <xf numFmtId="0" fontId="0" fillId="5" borderId="11" xfId="0" applyFill="1" applyBorder="1" applyAlignment="1">
      <alignment vertical="top" wrapText="1"/>
    </xf>
    <xf numFmtId="0" fontId="27" fillId="4" borderId="0" xfId="4" applyFill="1" applyAlignment="1" applyProtection="1"/>
    <xf numFmtId="0" fontId="2"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2" fillId="0" borderId="0" xfId="0" applyFont="1"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8" fillId="0" borderId="0" xfId="0" applyFont="1" applyFill="1" applyBorder="1" applyAlignment="1" applyProtection="1">
      <alignment horizontal="left" wrapText="1"/>
      <protection locked="0"/>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2012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42</xdr:row>
      <xdr:rowOff>127806</xdr:rowOff>
    </xdr:from>
    <xdr:to>
      <xdr:col>2</xdr:col>
      <xdr:colOff>285750</xdr:colOff>
      <xdr:row>50</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42</xdr:row>
      <xdr:rowOff>76199</xdr:rowOff>
    </xdr:from>
    <xdr:to>
      <xdr:col>14</xdr:col>
      <xdr:colOff>219075</xdr:colOff>
      <xdr:row>50</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533400</xdr:colOff>
      <xdr:row>18</xdr:row>
      <xdr:rowOff>85725</xdr:rowOff>
    </xdr:to>
    <xdr:sp macro="" textlink="">
      <xdr:nvSpPr>
        <xdr:cNvPr id="2" name="TextBox 1"/>
        <xdr:cNvSpPr txBox="1"/>
      </xdr:nvSpPr>
      <xdr:spPr>
        <a:xfrm>
          <a:off x="3067050" y="1838326"/>
          <a:ext cx="2771775" cy="12001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2010-2011" publication (June 2011) which is available at http://agecon.unl.edu/realestate.html</a:t>
          </a:r>
        </a:p>
      </xdr:txBody>
    </xdr:sp>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1">
    <sortCondition ref="C1:C121"/>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giesler@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5" Type="http://schemas.openxmlformats.org/officeDocument/2006/relationships/drawing" Target="../drawings/drawing1.xml"/><Relationship Id="rId4" Type="http://schemas.openxmlformats.org/officeDocument/2006/relationships/hyperlink" Target="mailto:swegulo2@unl.ed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59"/>
  <dimension ref="C37:K41"/>
  <sheetViews>
    <sheetView tabSelected="1" workbookViewId="0"/>
  </sheetViews>
  <sheetFormatPr defaultRowHeight="12.75"/>
  <cols>
    <col min="1" max="16384" width="9.140625" style="11"/>
  </cols>
  <sheetData>
    <row r="37" spans="3:11">
      <c r="C37" s="11" t="s">
        <v>490</v>
      </c>
    </row>
    <row r="38" spans="3:11">
      <c r="D38" s="11" t="s">
        <v>491</v>
      </c>
      <c r="F38" s="11" t="s">
        <v>500</v>
      </c>
      <c r="K38" s="196" t="s">
        <v>492</v>
      </c>
    </row>
    <row r="39" spans="3:11">
      <c r="D39" s="11" t="s">
        <v>494</v>
      </c>
      <c r="F39" s="11" t="s">
        <v>502</v>
      </c>
      <c r="K39" s="196" t="s">
        <v>493</v>
      </c>
    </row>
    <row r="40" spans="3:11">
      <c r="D40" s="11" t="s">
        <v>495</v>
      </c>
      <c r="F40" s="11" t="s">
        <v>503</v>
      </c>
      <c r="K40" s="196" t="s">
        <v>496</v>
      </c>
    </row>
    <row r="41" spans="3:11">
      <c r="D41" s="11" t="s">
        <v>497</v>
      </c>
      <c r="F41" s="11" t="s">
        <v>501</v>
      </c>
      <c r="K41" s="196" t="s">
        <v>498</v>
      </c>
    </row>
  </sheetData>
  <hyperlinks>
    <hyperlink ref="K38" r:id="rId1"/>
    <hyperlink ref="K39" r:id="rId2"/>
    <hyperlink ref="K40" r:id="rId3"/>
    <hyperlink ref="K41"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heetViews>
  <sheetFormatPr defaultRowHeight="12.75"/>
  <cols>
    <col min="1" max="1" width="24" style="11" customWidth="1"/>
    <col min="2" max="4" width="9.140625" style="11"/>
    <col min="5" max="5" width="17.5703125" style="11" customWidth="1"/>
    <col min="6" max="6" width="10.5703125" style="11" customWidth="1"/>
    <col min="7" max="7" width="12" style="11" customWidth="1"/>
    <col min="8" max="8" width="11.5703125" style="11" customWidth="1"/>
    <col min="9" max="9" width="12" style="11" customWidth="1"/>
    <col min="10" max="10" width="14.85546875" style="11" customWidth="1"/>
    <col min="11" max="16384" width="9.140625" style="11"/>
  </cols>
  <sheetData>
    <row r="1" spans="1:12">
      <c r="A1" s="13" t="s">
        <v>379</v>
      </c>
      <c r="B1" s="67">
        <v>2012</v>
      </c>
      <c r="C1" s="71"/>
      <c r="E1" s="11" t="s">
        <v>413</v>
      </c>
    </row>
    <row r="2" spans="1:12">
      <c r="A2" s="14" t="s">
        <v>91</v>
      </c>
      <c r="B2" s="65">
        <v>20</v>
      </c>
      <c r="C2" s="72" t="s">
        <v>94</v>
      </c>
      <c r="E2" s="11" t="s">
        <v>414</v>
      </c>
      <c r="F2" s="11" t="s">
        <v>415</v>
      </c>
      <c r="L2" s="12"/>
    </row>
    <row r="3" spans="1:12">
      <c r="A3" s="14" t="s">
        <v>92</v>
      </c>
      <c r="B3" s="65">
        <v>3.5</v>
      </c>
      <c r="C3" s="73" t="s">
        <v>469</v>
      </c>
      <c r="E3" s="75" t="s">
        <v>477</v>
      </c>
      <c r="F3" s="75">
        <v>1850</v>
      </c>
      <c r="L3" s="12"/>
    </row>
    <row r="4" spans="1:12">
      <c r="A4" s="15" t="s">
        <v>425</v>
      </c>
      <c r="B4" s="68">
        <v>1.1499999999999999</v>
      </c>
      <c r="C4" s="73"/>
      <c r="E4" s="75" t="s">
        <v>486</v>
      </c>
      <c r="F4" s="75">
        <v>545</v>
      </c>
      <c r="L4" s="12"/>
    </row>
    <row r="5" spans="1:12">
      <c r="A5" s="15" t="s">
        <v>426</v>
      </c>
      <c r="B5" s="193">
        <f>B3*B4</f>
        <v>4.0249999999999995</v>
      </c>
      <c r="C5" s="72" t="s">
        <v>96</v>
      </c>
      <c r="E5" s="75" t="s">
        <v>409</v>
      </c>
      <c r="F5" s="75">
        <v>4074</v>
      </c>
      <c r="L5" s="12"/>
    </row>
    <row r="6" spans="1:12">
      <c r="A6" s="14" t="s">
        <v>93</v>
      </c>
      <c r="B6" s="66">
        <v>9.5000000000000001E-2</v>
      </c>
      <c r="C6" s="72" t="s">
        <v>95</v>
      </c>
      <c r="E6" s="75" t="s">
        <v>410</v>
      </c>
      <c r="F6" s="75">
        <v>1980</v>
      </c>
      <c r="L6" s="12"/>
    </row>
    <row r="7" spans="1:12">
      <c r="A7" s="14" t="s">
        <v>378</v>
      </c>
      <c r="B7" s="69">
        <v>0.02</v>
      </c>
      <c r="C7" s="74"/>
      <c r="E7" s="75" t="s">
        <v>411</v>
      </c>
      <c r="F7" s="75">
        <v>4343</v>
      </c>
      <c r="L7" s="12"/>
    </row>
    <row r="8" spans="1:12">
      <c r="A8" s="14" t="s">
        <v>109</v>
      </c>
      <c r="B8" s="69">
        <v>0.04</v>
      </c>
      <c r="C8" s="74"/>
      <c r="E8" s="75" t="s">
        <v>412</v>
      </c>
      <c r="F8" s="75">
        <v>1975</v>
      </c>
      <c r="L8" s="12"/>
    </row>
    <row r="9" spans="1:12">
      <c r="A9" s="14" t="s">
        <v>401</v>
      </c>
      <c r="B9" s="69">
        <v>0.08</v>
      </c>
      <c r="C9" s="73"/>
      <c r="E9" s="59" t="s">
        <v>481</v>
      </c>
      <c r="F9" s="59">
        <v>875</v>
      </c>
      <c r="L9" s="12"/>
    </row>
    <row r="10" spans="1:12">
      <c r="A10" s="14" t="s">
        <v>402</v>
      </c>
      <c r="B10" s="70">
        <v>6</v>
      </c>
      <c r="C10" s="73" t="s">
        <v>403</v>
      </c>
      <c r="L10" s="12"/>
    </row>
    <row r="11" spans="1:12" ht="15.75" customHeight="1">
      <c r="A11" s="14" t="s">
        <v>417</v>
      </c>
      <c r="B11" s="69">
        <v>0.01</v>
      </c>
      <c r="C11" s="73"/>
      <c r="E11" s="16"/>
      <c r="F11" s="16"/>
      <c r="G11" s="16"/>
      <c r="L11" s="12"/>
    </row>
    <row r="12" spans="1:12" ht="12.75" customHeight="1">
      <c r="A12" s="14" t="s">
        <v>457</v>
      </c>
      <c r="B12" s="65">
        <v>20</v>
      </c>
      <c r="C12" s="73"/>
      <c r="E12" s="16"/>
      <c r="F12" s="16"/>
      <c r="G12" s="16"/>
      <c r="L12" s="12"/>
    </row>
    <row r="13" spans="1:12" ht="12.75" customHeight="1">
      <c r="E13" s="16"/>
      <c r="F13" s="16"/>
      <c r="G13" s="16"/>
      <c r="L13" s="12"/>
    </row>
    <row r="14" spans="1:12" ht="12.75" customHeight="1">
      <c r="E14" s="16"/>
      <c r="F14" s="16"/>
      <c r="G14" s="16"/>
      <c r="L14" s="12"/>
    </row>
    <row r="15" spans="1:12" ht="12.75" customHeight="1">
      <c r="E15" s="16"/>
      <c r="F15" s="16"/>
      <c r="G15" s="16"/>
      <c r="L15" s="12"/>
    </row>
    <row r="16" spans="1:12" ht="12.75" customHeight="1">
      <c r="E16" s="16"/>
      <c r="F16" s="16"/>
      <c r="G16" s="16"/>
      <c r="L16" s="12"/>
    </row>
    <row r="17" spans="5:12" ht="12.75" customHeight="1">
      <c r="E17" s="16"/>
      <c r="F17" s="16"/>
      <c r="G17" s="16"/>
      <c r="L17" s="12"/>
    </row>
    <row r="18" spans="5:12" ht="12.75" customHeight="1">
      <c r="E18" s="16"/>
      <c r="F18" s="16"/>
      <c r="G18" s="16"/>
      <c r="L18" s="12"/>
    </row>
    <row r="19" spans="5:12" ht="12.75" customHeight="1">
      <c r="E19" s="16"/>
      <c r="F19" s="16"/>
      <c r="G19" s="16"/>
      <c r="L19" s="12"/>
    </row>
    <row r="20" spans="5:12" ht="12.75" customHeight="1">
      <c r="E20" s="16"/>
      <c r="F20" s="16"/>
      <c r="G20" s="16"/>
      <c r="L20" s="12"/>
    </row>
    <row r="21" spans="5:12" ht="12.75" customHeight="1">
      <c r="E21" s="16"/>
      <c r="F21" s="16"/>
      <c r="G21" s="16"/>
      <c r="L21" s="12"/>
    </row>
    <row r="22" spans="5:12" ht="12.75" customHeight="1">
      <c r="E22" s="16"/>
      <c r="F22" s="16"/>
      <c r="G22" s="16"/>
    </row>
    <row r="23" spans="5:12" ht="12.75" customHeight="1">
      <c r="E23" s="16"/>
      <c r="F23" s="16"/>
      <c r="G23" s="16"/>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B1" activePane="topRight" state="frozen"/>
      <selection pane="topRight"/>
    </sheetView>
  </sheetViews>
  <sheetFormatPr defaultRowHeight="12.75"/>
  <cols>
    <col min="1" max="1" width="20.7109375" style="87" customWidth="1"/>
    <col min="2" max="2" width="30.5703125" style="87" customWidth="1"/>
    <col min="3" max="3" width="35" style="87" customWidth="1"/>
    <col min="4" max="5" width="11.5703125" style="87" customWidth="1"/>
    <col min="6" max="6" width="13.28515625" style="87" customWidth="1"/>
    <col min="7" max="7" width="13.7109375" style="87" customWidth="1"/>
    <col min="8" max="9" width="11.7109375" style="87" customWidth="1"/>
    <col min="10" max="10" width="10.28515625" style="87" customWidth="1"/>
    <col min="11" max="11" width="13.28515625" style="87" customWidth="1"/>
    <col min="12" max="12" width="14" style="87" customWidth="1"/>
    <col min="13" max="13" width="12.28515625" style="87" customWidth="1"/>
    <col min="14" max="14" width="9.85546875" style="87" customWidth="1"/>
    <col min="15" max="16" width="11.7109375" style="87" customWidth="1"/>
    <col min="17" max="17" width="32.85546875" style="87" bestFit="1" customWidth="1"/>
    <col min="18" max="18" width="35.5703125" style="87" customWidth="1"/>
    <col min="19" max="19" width="18.42578125" style="87" customWidth="1"/>
    <col min="20" max="20" width="12.28515625" style="87" customWidth="1"/>
    <col min="21" max="21" width="16" style="87" customWidth="1"/>
    <col min="22" max="22" width="11" style="87" customWidth="1"/>
    <col min="23" max="23" width="25.28515625" style="87" bestFit="1" customWidth="1"/>
    <col min="24" max="24" width="26.5703125" style="87" customWidth="1"/>
    <col min="25" max="25" width="42.140625" style="87" customWidth="1"/>
    <col min="26" max="26" width="6.7109375" style="87" customWidth="1"/>
    <col min="27" max="27" width="7.85546875" style="87" customWidth="1"/>
    <col min="28" max="16384" width="9.140625" style="87"/>
  </cols>
  <sheetData>
    <row r="1" spans="1:28" ht="47.25" customHeight="1">
      <c r="A1" s="82" t="s">
        <v>112</v>
      </c>
      <c r="B1" s="83" t="s">
        <v>110</v>
      </c>
      <c r="C1" s="84" t="s">
        <v>111</v>
      </c>
      <c r="D1" s="84" t="s">
        <v>107</v>
      </c>
      <c r="E1" s="85" t="s">
        <v>373</v>
      </c>
      <c r="F1" s="84" t="s">
        <v>108</v>
      </c>
      <c r="G1" s="84" t="s">
        <v>276</v>
      </c>
      <c r="H1" s="86" t="s">
        <v>374</v>
      </c>
      <c r="I1" s="85" t="s">
        <v>375</v>
      </c>
      <c r="J1" s="85" t="s">
        <v>277</v>
      </c>
      <c r="K1" s="85" t="s">
        <v>376</v>
      </c>
      <c r="L1" s="85" t="s">
        <v>377</v>
      </c>
      <c r="M1" s="85" t="s">
        <v>278</v>
      </c>
      <c r="N1" s="85" t="s">
        <v>380</v>
      </c>
      <c r="O1" s="85" t="s">
        <v>381</v>
      </c>
      <c r="P1" s="85" t="s">
        <v>382</v>
      </c>
      <c r="R1" s="88" t="s">
        <v>114</v>
      </c>
      <c r="S1" s="89" t="s">
        <v>115</v>
      </c>
      <c r="T1" s="89" t="s">
        <v>116</v>
      </c>
      <c r="U1" s="89" t="s">
        <v>117</v>
      </c>
      <c r="V1" s="90" t="s">
        <v>118</v>
      </c>
      <c r="X1" s="2" t="s">
        <v>214</v>
      </c>
      <c r="Y1" s="2" t="s">
        <v>114</v>
      </c>
      <c r="Z1" s="2" t="s">
        <v>215</v>
      </c>
      <c r="AA1" s="2" t="s">
        <v>216</v>
      </c>
      <c r="AB1" s="2" t="s">
        <v>217</v>
      </c>
    </row>
    <row r="2" spans="1:28" ht="15.75">
      <c r="A2" s="76" t="s">
        <v>470</v>
      </c>
      <c r="B2" s="77" t="s">
        <v>280</v>
      </c>
      <c r="C2" s="78" t="s">
        <v>282</v>
      </c>
      <c r="D2" s="79">
        <v>178000</v>
      </c>
      <c r="E2" s="80"/>
      <c r="F2" s="80">
        <v>5</v>
      </c>
      <c r="G2" s="80">
        <v>1500</v>
      </c>
      <c r="H2" s="80">
        <v>300</v>
      </c>
      <c r="I2" s="91">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178000</v>
      </c>
      <c r="J2"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1.7622000000000002</v>
      </c>
      <c r="K2"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72073.037322238641</v>
      </c>
      <c r="L2"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64915.86509771186</v>
      </c>
      <c r="M2" s="92">
        <f>IF(PowerUnits[[#This Row],[Est. Hours per Year]]=0,0,(PowerUnits[[#This Row],[Calculated Beg Yr. Value]]-PowerUnits[[#This Row],[Calculated End Yr. Value]])/PowerUnits[[#This Row],[Est. Hours per Year]])</f>
        <v>23.857240748422605</v>
      </c>
      <c r="N2" s="92">
        <f>IF(PowerUnits[[#This Row],[Est. Hours per Year]]=0,0,PowerUnits[[#This Row],[Calculated Beg Yr. Value]]*'General Variables'!$B$7/PowerUnits[[#This Row],[Est. Hours per Year]])</f>
        <v>4.8048691548159095</v>
      </c>
      <c r="O2" s="92">
        <f>IF(PowerUnits[[#This Row],[Est. Hours per Year]]=0,0,PowerUnits[[#This Row],[Calculated Beg Yr. Value]]*'General Variables'!$B$8/PowerUnits[[#This Row],[Est. Hours per Year]])</f>
        <v>9.609738309631819</v>
      </c>
      <c r="P2" s="92">
        <f>SUM(PowerUnits[[#This Row],[Depreciation per Hour]:[Opportunity Cost per Hour]])</f>
        <v>38.271848212870339</v>
      </c>
      <c r="R2" s="93" t="s">
        <v>119</v>
      </c>
      <c r="S2" s="94" t="s">
        <v>120</v>
      </c>
      <c r="T2" s="95" t="s">
        <v>121</v>
      </c>
      <c r="U2" s="95" t="s">
        <v>122</v>
      </c>
      <c r="V2" s="96">
        <v>12000</v>
      </c>
      <c r="X2" s="2" t="s">
        <v>218</v>
      </c>
      <c r="Y2" s="2" t="s">
        <v>219</v>
      </c>
      <c r="Z2" s="2" t="s">
        <v>220</v>
      </c>
      <c r="AA2" s="2" t="s">
        <v>221</v>
      </c>
      <c r="AB2" s="2" t="s">
        <v>222</v>
      </c>
    </row>
    <row r="3" spans="1:28" ht="15.75">
      <c r="A3" s="76" t="s">
        <v>471</v>
      </c>
      <c r="B3" s="77" t="s">
        <v>119</v>
      </c>
      <c r="C3" s="78" t="s">
        <v>282</v>
      </c>
      <c r="D3" s="79">
        <v>140000</v>
      </c>
      <c r="E3" s="80"/>
      <c r="F3" s="80">
        <v>10</v>
      </c>
      <c r="G3" s="80">
        <v>2500</v>
      </c>
      <c r="H3" s="80">
        <v>200</v>
      </c>
      <c r="I3" s="91">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140000</v>
      </c>
      <c r="J3"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5.0960000000000036</v>
      </c>
      <c r="K3"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35659.53226797004</v>
      </c>
      <c r="L3"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32605.677511052265</v>
      </c>
      <c r="M3" s="92">
        <f>IF(PowerUnits[[#This Row],[Est. Hours per Year]]=0,0,(PowerUnits[[#This Row],[Calculated Beg Yr. Value]]-PowerUnits[[#This Row],[Calculated End Yr. Value]])/PowerUnits[[#This Row],[Est. Hours per Year]])</f>
        <v>15.269273784588878</v>
      </c>
      <c r="N3" s="92">
        <f>IF(PowerUnits[[#This Row],[Est. Hours per Year]]=0,0,PowerUnits[[#This Row],[Calculated Beg Yr. Value]]*'General Variables'!$B$7/PowerUnits[[#This Row],[Est. Hours per Year]])</f>
        <v>3.5659532267970042</v>
      </c>
      <c r="O3" s="92">
        <f>IF(PowerUnits[[#This Row],[Est. Hours per Year]]=0,0,PowerUnits[[#This Row],[Calculated Beg Yr. Value]]*'General Variables'!$B$8/PowerUnits[[#This Row],[Est. Hours per Year]])</f>
        <v>7.1319064535940084</v>
      </c>
      <c r="P3" s="92">
        <f>SUM(PowerUnits[[#This Row],[Depreciation per Hour]:[Opportunity Cost per Hour]])</f>
        <v>25.967133464979891</v>
      </c>
      <c r="R3" s="97" t="s">
        <v>123</v>
      </c>
      <c r="S3" s="97" t="s">
        <v>120</v>
      </c>
      <c r="T3" s="98" t="s">
        <v>124</v>
      </c>
      <c r="U3" s="98" t="s">
        <v>122</v>
      </c>
      <c r="V3" s="99">
        <v>16000</v>
      </c>
      <c r="X3" s="2" t="s">
        <v>218</v>
      </c>
      <c r="Y3" s="2" t="s">
        <v>223</v>
      </c>
      <c r="Z3" s="2" t="s">
        <v>224</v>
      </c>
      <c r="AA3" s="2" t="s">
        <v>225</v>
      </c>
      <c r="AB3" s="2" t="s">
        <v>226</v>
      </c>
    </row>
    <row r="4" spans="1:28" ht="15.75">
      <c r="A4" s="76" t="s">
        <v>274</v>
      </c>
      <c r="B4" s="77" t="s">
        <v>281</v>
      </c>
      <c r="C4" s="78" t="s">
        <v>279</v>
      </c>
      <c r="D4" s="79">
        <v>285000</v>
      </c>
      <c r="E4" s="80"/>
      <c r="F4" s="80">
        <v>5</v>
      </c>
      <c r="G4" s="80">
        <v>1000</v>
      </c>
      <c r="H4" s="80">
        <v>300</v>
      </c>
      <c r="I4" s="91">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285000</v>
      </c>
      <c r="J4"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27.927200802357788</v>
      </c>
      <c r="K4"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75070.097533129199</v>
      </c>
      <c r="L4"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55929.864485808248</v>
      </c>
      <c r="M4" s="92">
        <f>IF(PowerUnits[[#This Row],[Est. Hours per Year]]=0,0,(PowerUnits[[#This Row],[Calculated Beg Yr. Value]]-PowerUnits[[#This Row],[Calculated End Yr. Value]])/PowerUnits[[#This Row],[Est. Hours per Year]])</f>
        <v>63.800776824403172</v>
      </c>
      <c r="N4" s="92">
        <f>IF(PowerUnits[[#This Row],[Est. Hours per Year]]=0,0,PowerUnits[[#This Row],[Calculated Beg Yr. Value]]*'General Variables'!$B$7/PowerUnits[[#This Row],[Est. Hours per Year]])</f>
        <v>5.0046731688752804</v>
      </c>
      <c r="O4" s="92">
        <f>IF(PowerUnits[[#This Row],[Est. Hours per Year]]=0,0,PowerUnits[[#This Row],[Calculated Beg Yr. Value]]*'General Variables'!$B$8/PowerUnits[[#This Row],[Est. Hours per Year]])</f>
        <v>10.009346337750561</v>
      </c>
      <c r="P4" s="92">
        <f>SUM(PowerUnits[[#This Row],[Depreciation per Hour]:[Opportunity Cost per Hour]])</f>
        <v>78.814796331029015</v>
      </c>
      <c r="R4" s="97" t="s">
        <v>145</v>
      </c>
      <c r="S4" s="97" t="s">
        <v>126</v>
      </c>
      <c r="T4" s="98" t="s">
        <v>146</v>
      </c>
      <c r="U4" s="98" t="s">
        <v>147</v>
      </c>
      <c r="V4" s="99">
        <v>3000</v>
      </c>
      <c r="X4" s="2" t="s">
        <v>218</v>
      </c>
      <c r="Y4" s="2" t="s">
        <v>227</v>
      </c>
      <c r="Z4" s="2" t="s">
        <v>228</v>
      </c>
      <c r="AA4" s="2" t="s">
        <v>229</v>
      </c>
      <c r="AB4" s="2" t="s">
        <v>230</v>
      </c>
    </row>
    <row r="5" spans="1:28" ht="15.75">
      <c r="A5" s="76" t="s">
        <v>472</v>
      </c>
      <c r="B5" s="77" t="s">
        <v>119</v>
      </c>
      <c r="C5" s="78" t="s">
        <v>428</v>
      </c>
      <c r="D5" s="79">
        <v>88000</v>
      </c>
      <c r="E5" s="81"/>
      <c r="F5" s="80">
        <v>15</v>
      </c>
      <c r="G5" s="80">
        <v>3000</v>
      </c>
      <c r="H5" s="80">
        <v>100</v>
      </c>
      <c r="I5" s="91">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88000</v>
      </c>
      <c r="J5"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3.7576000000000112</v>
      </c>
      <c r="K5"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22968.204089978244</v>
      </c>
      <c r="L5"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21776.862575207342</v>
      </c>
      <c r="M5" s="92">
        <f>IF(PowerUnits[[#This Row],[Est. Hours per Year]]=0,0,(PowerUnits[[#This Row],[Calculated Beg Yr. Value]]-PowerUnits[[#This Row],[Calculated End Yr. Value]])/PowerUnits[[#This Row],[Est. Hours per Year]])</f>
        <v>11.913415147709021</v>
      </c>
      <c r="N5" s="92">
        <f>IF(PowerUnits[[#This Row],[Est. Hours per Year]]=0,0,PowerUnits[[#This Row],[Calculated Beg Yr. Value]]*'General Variables'!$B$7/PowerUnits[[#This Row],[Est. Hours per Year]])</f>
        <v>4.5936408179956487</v>
      </c>
      <c r="O5" s="92">
        <f>IF(PowerUnits[[#This Row],[Est. Hours per Year]]=0,0,PowerUnits[[#This Row],[Calculated Beg Yr. Value]]*'General Variables'!$B$8/PowerUnits[[#This Row],[Est. Hours per Year]])</f>
        <v>9.1872816359912974</v>
      </c>
      <c r="P5" s="92">
        <f>SUM(PowerUnits[[#This Row],[Depreciation per Hour]:[Opportunity Cost per Hour]])</f>
        <v>25.694337601695967</v>
      </c>
      <c r="R5" s="97" t="s">
        <v>150</v>
      </c>
      <c r="S5" s="97" t="s">
        <v>126</v>
      </c>
      <c r="T5" s="98" t="s">
        <v>151</v>
      </c>
      <c r="U5" s="98" t="s">
        <v>128</v>
      </c>
      <c r="V5" s="99">
        <v>3000</v>
      </c>
      <c r="X5" s="2" t="s">
        <v>231</v>
      </c>
      <c r="Y5" s="2" t="s">
        <v>232</v>
      </c>
      <c r="Z5" s="2" t="s">
        <v>233</v>
      </c>
      <c r="AA5" s="2" t="s">
        <v>234</v>
      </c>
      <c r="AB5" s="2" t="s">
        <v>235</v>
      </c>
    </row>
    <row r="6" spans="1:28" ht="15.75">
      <c r="A6" s="76" t="s">
        <v>338</v>
      </c>
      <c r="B6" s="77" t="s">
        <v>119</v>
      </c>
      <c r="C6" s="78" t="s">
        <v>428</v>
      </c>
      <c r="D6" s="79">
        <v>15000</v>
      </c>
      <c r="E6" s="81"/>
      <c r="F6" s="80">
        <v>10</v>
      </c>
      <c r="G6" s="80">
        <v>2400</v>
      </c>
      <c r="H6" s="80">
        <v>800</v>
      </c>
      <c r="I6" s="91">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6"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6" s="92">
        <f>IF(PowerUnits[[#This Row],[Est. Hours per Year]]=0,0,(PowerUnits[[#This Row],[Calculated Beg Yr. Value]]-PowerUnits[[#This Row],[Calculated End Yr. Value]])/PowerUnits[[#This Row],[Est. Hours per Year]])</f>
        <v>0.46421475603722229</v>
      </c>
      <c r="N6" s="92">
        <f>IF(PowerUnits[[#This Row],[Est. Hours per Year]]=0,0,PowerUnits[[#This Row],[Calculated Beg Yr. Value]]*'General Variables'!$B$7/PowerUnits[[#This Row],[Est. Hours per Year]])</f>
        <v>0.12902871128758067</v>
      </c>
      <c r="O6" s="92">
        <f>IF(PowerUnits[[#This Row],[Est. Hours per Year]]=0,0,PowerUnits[[#This Row],[Calculated Beg Yr. Value]]*'General Variables'!$B$8/PowerUnits[[#This Row],[Est. Hours per Year]])</f>
        <v>0.25805742257516134</v>
      </c>
      <c r="P6" s="92">
        <f>SUM(PowerUnits[[#This Row],[Depreciation per Hour]:[Opportunity Cost per Hour]])</f>
        <v>0.85130088989996433</v>
      </c>
      <c r="R6" s="97" t="s">
        <v>170</v>
      </c>
      <c r="S6" s="97" t="s">
        <v>126</v>
      </c>
      <c r="T6" s="98" t="s">
        <v>171</v>
      </c>
      <c r="U6" s="98" t="s">
        <v>122</v>
      </c>
      <c r="V6" s="99">
        <v>4000</v>
      </c>
      <c r="X6" s="2" t="s">
        <v>231</v>
      </c>
      <c r="Y6" s="2" t="s">
        <v>242</v>
      </c>
      <c r="Z6" s="2" t="s">
        <v>243</v>
      </c>
      <c r="AA6" s="2" t="s">
        <v>244</v>
      </c>
      <c r="AB6" s="2"/>
    </row>
    <row r="7" spans="1:28" ht="15.75">
      <c r="A7" s="76" t="s">
        <v>340</v>
      </c>
      <c r="B7" s="77" t="s">
        <v>275</v>
      </c>
      <c r="C7" s="78" t="s">
        <v>339</v>
      </c>
      <c r="D7" s="79">
        <v>10000</v>
      </c>
      <c r="E7" s="80"/>
      <c r="F7" s="80">
        <v>5</v>
      </c>
      <c r="G7" s="80">
        <v>2400</v>
      </c>
      <c r="H7" s="80">
        <v>800</v>
      </c>
      <c r="I7" s="91">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7"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7"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7" s="92">
        <f>IF(PowerUnits[[#This Row],[Est. Hours per Year]]=0,0,(PowerUnits[[#This Row],[Calculated Beg Yr. Value]]-PowerUnits[[#This Row],[Calculated End Yr. Value]])/PowerUnits[[#This Row],[Est. Hours per Year]])</f>
        <v>0.72897548213518548</v>
      </c>
      <c r="N7" s="92">
        <f>IF(PowerUnits[[#This Row],[Est. Hours per Year]]=0,0,PowerUnits[[#This Row],[Calculated Beg Yr. Value]]*'General Variables'!$B$7/PowerUnits[[#This Row],[Est. Hours per Year]])</f>
        <v>5.9756992471332239E-2</v>
      </c>
      <c r="O7" s="92">
        <f>IF(PowerUnits[[#This Row],[Est. Hours per Year]]=0,0,PowerUnits[[#This Row],[Calculated Beg Yr. Value]]*'General Variables'!$B$8/PowerUnits[[#This Row],[Est. Hours per Year]])</f>
        <v>0.11951398494266448</v>
      </c>
      <c r="P7" s="92">
        <f>SUM(PowerUnits[[#This Row],[Depreciation per Hour]:[Opportunity Cost per Hour]])</f>
        <v>0.90824645954918226</v>
      </c>
      <c r="R7" s="97" t="s">
        <v>199</v>
      </c>
      <c r="S7" s="97" t="s">
        <v>126</v>
      </c>
      <c r="T7" s="98" t="s">
        <v>200</v>
      </c>
      <c r="U7" s="98" t="s">
        <v>122</v>
      </c>
      <c r="V7" s="99">
        <v>3000</v>
      </c>
      <c r="X7" s="2" t="s">
        <v>252</v>
      </c>
      <c r="Y7" s="2" t="s">
        <v>253</v>
      </c>
      <c r="Z7" s="2" t="s">
        <v>254</v>
      </c>
      <c r="AA7" s="2" t="s">
        <v>255</v>
      </c>
      <c r="AB7" s="2" t="s">
        <v>256</v>
      </c>
    </row>
    <row r="8" spans="1:28" ht="15.75">
      <c r="A8" s="76" t="s">
        <v>396</v>
      </c>
      <c r="B8" s="77" t="s">
        <v>119</v>
      </c>
      <c r="C8" s="78" t="s">
        <v>339</v>
      </c>
      <c r="D8" s="79">
        <v>15000</v>
      </c>
      <c r="E8" s="81"/>
      <c r="F8" s="80">
        <v>10</v>
      </c>
      <c r="G8" s="80">
        <v>2400</v>
      </c>
      <c r="H8" s="80">
        <v>800</v>
      </c>
      <c r="I8" s="91">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8"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8" s="92">
        <f>IF(PowerUnits[[#This Row],[Est. Hours per Year]]=0,0,(PowerUnits[[#This Row],[Calculated Beg Yr. Value]]-PowerUnits[[#This Row],[Calculated End Yr. Value]])/PowerUnits[[#This Row],[Est. Hours per Year]])</f>
        <v>0.81696331087635909</v>
      </c>
      <c r="N8" s="92">
        <f>IF(PowerUnits[[#This Row],[Est. Hours per Year]]=0,0,PowerUnits[[#This Row],[Calculated Beg Yr. Value]]*'General Variables'!$B$7/PowerUnits[[#This Row],[Est. Hours per Year]])</f>
        <v>6.0833082103406183E-2</v>
      </c>
      <c r="O8" s="92">
        <f>IF(PowerUnits[[#This Row],[Est. Hours per Year]]=0,0,PowerUnits[[#This Row],[Calculated Beg Yr. Value]]*'General Variables'!$B$8/PowerUnits[[#This Row],[Est. Hours per Year]])</f>
        <v>0.12166616420681237</v>
      </c>
      <c r="P8" s="92">
        <f>SUM(PowerUnits[[#This Row],[Depreciation per Hour]:[Opportunity Cost per Hour]])</f>
        <v>0.99946255718657762</v>
      </c>
      <c r="R8" s="2" t="s">
        <v>275</v>
      </c>
      <c r="S8" s="2" t="s">
        <v>202</v>
      </c>
      <c r="T8" s="3">
        <v>0.02</v>
      </c>
      <c r="U8" s="3">
        <v>1.5</v>
      </c>
      <c r="V8" s="5"/>
    </row>
    <row r="9" spans="1:28">
      <c r="A9" s="76" t="s">
        <v>336</v>
      </c>
      <c r="B9" s="77" t="s">
        <v>473</v>
      </c>
      <c r="C9" s="78" t="s">
        <v>337</v>
      </c>
      <c r="D9" s="79">
        <v>86500</v>
      </c>
      <c r="E9" s="80"/>
      <c r="F9" s="80">
        <v>10</v>
      </c>
      <c r="G9" s="80">
        <v>2500</v>
      </c>
      <c r="H9" s="80">
        <v>100</v>
      </c>
      <c r="I9" s="91">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86500</v>
      </c>
      <c r="J9"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13.234500000000008</v>
      </c>
      <c r="K9"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21905.535371611644</v>
      </c>
      <c r="L9"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20699.801357019041</v>
      </c>
      <c r="M9" s="92">
        <f>IF(PowerUnits[[#This Row],[Est. Hours per Year]]=0,0,(PowerUnits[[#This Row],[Calculated Beg Yr. Value]]-PowerUnits[[#This Row],[Calculated End Yr. Value]])/PowerUnits[[#This Row],[Est. Hours per Year]])</f>
        <v>12.057340145926027</v>
      </c>
      <c r="N9" s="92">
        <f>IF(PowerUnits[[#This Row],[Est. Hours per Year]]=0,0,PowerUnits[[#This Row],[Calculated Beg Yr. Value]]*'General Variables'!$B$7/PowerUnits[[#This Row],[Est. Hours per Year]])</f>
        <v>4.3811070743223288</v>
      </c>
      <c r="O9" s="92">
        <f>IF(PowerUnits[[#This Row],[Est. Hours per Year]]=0,0,PowerUnits[[#This Row],[Calculated Beg Yr. Value]]*'General Variables'!$B$8/PowerUnits[[#This Row],[Est. Hours per Year]])</f>
        <v>8.7622141486446576</v>
      </c>
      <c r="P9" s="92">
        <f>SUM(PowerUnits[[#This Row],[Depreciation per Hour]:[Opportunity Cost per Hour]])</f>
        <v>25.200661368893016</v>
      </c>
    </row>
    <row r="10" spans="1:28">
      <c r="A10" s="76" t="s">
        <v>458</v>
      </c>
      <c r="B10" s="77"/>
      <c r="C10" s="78"/>
      <c r="D10" s="79"/>
      <c r="E10" s="80"/>
      <c r="F10" s="80"/>
      <c r="G10" s="80"/>
      <c r="H10" s="80"/>
      <c r="I10" s="91">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2">
        <f>IF(PowerUnits[[#This Row],[Est. Hours per Year]]=0,0,(PowerUnits[[#This Row],[Calculated Beg Yr. Value]]-PowerUnits[[#This Row],[Calculated End Yr. Value]])/PowerUnits[[#This Row],[Est. Hours per Year]])</f>
        <v>0</v>
      </c>
      <c r="N10" s="92">
        <f>IF(PowerUnits[[#This Row],[Est. Hours per Year]]=0,0,PowerUnits[[#This Row],[Calculated Beg Yr. Value]]*'General Variables'!$B$7/PowerUnits[[#This Row],[Est. Hours per Year]])</f>
        <v>0</v>
      </c>
      <c r="O10" s="92">
        <f>IF(PowerUnits[[#This Row],[Est. Hours per Year]]=0,0,PowerUnits[[#This Row],[Calculated Beg Yr. Value]]*'General Variables'!$B$8/PowerUnits[[#This Row],[Est. Hours per Year]])</f>
        <v>0</v>
      </c>
      <c r="P10" s="92">
        <f>SUM(PowerUnits[[#This Row],[Depreciation per Hour]:[Opportunity Cost per Hour]])</f>
        <v>0</v>
      </c>
    </row>
    <row r="11" spans="1:28">
      <c r="A11" s="76"/>
      <c r="B11" s="77"/>
      <c r="C11" s="78"/>
      <c r="D11" s="79"/>
      <c r="E11" s="80"/>
      <c r="F11" s="80"/>
      <c r="G11" s="80"/>
      <c r="H11" s="80"/>
      <c r="I11" s="91">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2">
        <f>IF(PowerUnits[[#This Row],[Est. Hours per Year]]=0,0,(PowerUnits[[#This Row],[Calculated Beg Yr. Value]]-PowerUnits[[#This Row],[Calculated End Yr. Value]])/PowerUnits[[#This Row],[Est. Hours per Year]])</f>
        <v>0</v>
      </c>
      <c r="N11" s="92">
        <f>IF(PowerUnits[[#This Row],[Est. Hours per Year]]=0,0,PowerUnits[[#This Row],[Calculated Beg Yr. Value]]*'General Variables'!$B$7/PowerUnits[[#This Row],[Est. Hours per Year]])</f>
        <v>0</v>
      </c>
      <c r="O11" s="92">
        <f>IF(PowerUnits[[#This Row],[Est. Hours per Year]]=0,0,PowerUnits[[#This Row],[Calculated Beg Yr. Value]]*'General Variables'!$B$8/PowerUnits[[#This Row],[Est. Hours per Year]])</f>
        <v>0</v>
      </c>
      <c r="P11" s="92">
        <f>SUM(PowerUnits[[#This Row],[Depreciation per Hour]:[Opportunity Cost per Hour]])</f>
        <v>0</v>
      </c>
    </row>
    <row r="12" spans="1:28">
      <c r="A12" s="76"/>
      <c r="B12" s="77"/>
      <c r="C12" s="78"/>
      <c r="D12" s="79"/>
      <c r="E12" s="80"/>
      <c r="F12" s="80"/>
      <c r="G12" s="80"/>
      <c r="H12" s="80"/>
      <c r="I12" s="91">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2">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1">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1">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2">
        <f>IF(PowerUnits[[#This Row],[Est. Hours per Year]]=0,0,(PowerUnits[[#This Row],[Calculated Beg Yr. Value]]-PowerUnits[[#This Row],[Calculated End Yr. Value]])/PowerUnits[[#This Row],[Est. Hours per Year]])</f>
        <v>0</v>
      </c>
      <c r="N12" s="92">
        <f>IF(PowerUnits[[#This Row],[Est. Hours per Year]]=0,0,PowerUnits[[#This Row],[Calculated Beg Yr. Value]]*'General Variables'!$B$7/PowerUnits[[#This Row],[Est. Hours per Year]])</f>
        <v>0</v>
      </c>
      <c r="O12" s="92">
        <f>IF(PowerUnits[[#This Row],[Est. Hours per Year]]=0,0,PowerUnits[[#This Row],[Calculated Beg Yr. Value]]*'General Variables'!$B$8/PowerUnits[[#This Row],[Est. Hours per Year]])</f>
        <v>0</v>
      </c>
      <c r="P12" s="92">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selection pane="bottomLeft"/>
      <selection pane="bottomRight"/>
    </sheetView>
  </sheetViews>
  <sheetFormatPr defaultRowHeight="12.75"/>
  <cols>
    <col min="1" max="1" width="23.85546875" style="110" customWidth="1"/>
    <col min="2" max="2" width="14.5703125" style="127" customWidth="1"/>
    <col min="3" max="3" width="17.85546875" style="127" customWidth="1"/>
    <col min="4" max="4" width="23.42578125" style="127" customWidth="1"/>
    <col min="5" max="6" width="11.5703125" style="110" customWidth="1"/>
    <col min="7" max="7" width="9" style="110" customWidth="1"/>
    <col min="8" max="8" width="10.5703125" style="110" customWidth="1"/>
    <col min="9" max="9" width="13.28515625" style="110" customWidth="1"/>
    <col min="10" max="10" width="11.5703125" style="110" customWidth="1"/>
    <col min="11" max="11" width="17.85546875" style="110" customWidth="1"/>
    <col min="12" max="12" width="10" style="110" customWidth="1"/>
    <col min="13" max="13" width="7.85546875" style="110" customWidth="1"/>
    <col min="14" max="15" width="12.7109375" style="110" customWidth="1"/>
    <col min="16" max="16" width="11.42578125" style="110" customWidth="1"/>
    <col min="17" max="18" width="13.7109375" style="110" customWidth="1"/>
    <col min="19" max="19" width="9.140625" style="126"/>
    <col min="20" max="20" width="11.5703125" style="126" customWidth="1"/>
    <col min="21" max="21" width="10.7109375" style="126" customWidth="1"/>
    <col min="22" max="22" width="9.140625" style="110"/>
    <col min="23" max="23" width="32.85546875" style="110" bestFit="1" customWidth="1"/>
    <col min="24" max="24" width="20.42578125" style="110" bestFit="1" customWidth="1"/>
    <col min="25" max="26" width="6.7109375" style="110" customWidth="1"/>
    <col min="27" max="27" width="11" style="110" bestFit="1" customWidth="1"/>
    <col min="28" max="29" width="9.140625" style="110"/>
    <col min="30" max="30" width="28.140625" style="110" customWidth="1"/>
    <col min="31" max="31" width="40.5703125" style="110" bestFit="1" customWidth="1"/>
    <col min="32" max="33" width="6.7109375" style="110" customWidth="1"/>
    <col min="34" max="34" width="7.85546875" style="110" customWidth="1"/>
    <col min="35" max="36" width="9.140625" style="110"/>
    <col min="37" max="37" width="19.5703125" style="110" bestFit="1" customWidth="1"/>
    <col min="38" max="38" width="9.85546875" style="110" bestFit="1" customWidth="1"/>
    <col min="39" max="39" width="29.7109375" style="110" customWidth="1"/>
    <col min="40" max="16384" width="9.140625" style="110"/>
  </cols>
  <sheetData>
    <row r="1" spans="1:41" s="103" customFormat="1" ht="44.25" customHeight="1">
      <c r="A1" s="100" t="s">
        <v>0</v>
      </c>
      <c r="B1" s="101" t="s">
        <v>85</v>
      </c>
      <c r="C1" s="101" t="s">
        <v>110</v>
      </c>
      <c r="D1" s="101" t="s">
        <v>111</v>
      </c>
      <c r="E1" s="101" t="s">
        <v>107</v>
      </c>
      <c r="F1" s="101" t="s">
        <v>383</v>
      </c>
      <c r="G1" s="101" t="s">
        <v>108</v>
      </c>
      <c r="H1" s="101" t="s">
        <v>335</v>
      </c>
      <c r="I1" s="101" t="s">
        <v>368</v>
      </c>
      <c r="J1" s="101" t="s">
        <v>113</v>
      </c>
      <c r="K1" s="101" t="s">
        <v>273</v>
      </c>
      <c r="L1" s="101" t="s">
        <v>371</v>
      </c>
      <c r="M1" s="101" t="s">
        <v>372</v>
      </c>
      <c r="N1" s="101" t="s">
        <v>370</v>
      </c>
      <c r="O1" s="102" t="s">
        <v>385</v>
      </c>
      <c r="P1" s="102" t="s">
        <v>369</v>
      </c>
      <c r="Q1" s="102" t="s">
        <v>384</v>
      </c>
      <c r="R1" s="102" t="s">
        <v>386</v>
      </c>
      <c r="S1" s="102" t="s">
        <v>387</v>
      </c>
      <c r="T1" s="102" t="s">
        <v>388</v>
      </c>
      <c r="U1" s="102" t="s">
        <v>389</v>
      </c>
      <c r="W1" s="6" t="s">
        <v>114</v>
      </c>
      <c r="X1" s="104" t="s">
        <v>115</v>
      </c>
      <c r="Y1" s="105" t="s">
        <v>116</v>
      </c>
      <c r="Z1" s="105" t="s">
        <v>117</v>
      </c>
      <c r="AA1" s="106" t="s">
        <v>118</v>
      </c>
      <c r="AD1" s="7" t="s">
        <v>269</v>
      </c>
      <c r="AE1" s="7" t="s">
        <v>114</v>
      </c>
      <c r="AF1" s="7" t="s">
        <v>270</v>
      </c>
      <c r="AG1" s="7" t="s">
        <v>271</v>
      </c>
      <c r="AH1" s="7" t="s">
        <v>272</v>
      </c>
      <c r="AK1" s="206" t="s">
        <v>264</v>
      </c>
      <c r="AL1" s="206"/>
      <c r="AM1" s="206"/>
      <c r="AO1" s="107" t="s">
        <v>283</v>
      </c>
    </row>
    <row r="2" spans="1:41" ht="12.75" customHeight="1">
      <c r="A2" s="128" t="s">
        <v>17</v>
      </c>
      <c r="B2" s="129" t="s">
        <v>3</v>
      </c>
      <c r="C2" s="130"/>
      <c r="D2" s="130"/>
      <c r="E2" s="131"/>
      <c r="F2" s="132"/>
      <c r="G2" s="131"/>
      <c r="H2" s="131"/>
      <c r="I2" s="133"/>
      <c r="J2" s="134"/>
      <c r="K2" s="130"/>
      <c r="L2" s="132"/>
      <c r="M2" s="135"/>
      <c r="N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08">
        <f>IF(Operations[[#This Row],[Calc List Price]]=0,0,IF(Operations[[#This Row],[Units per Hour]]*Operations[[#This Row],[Annual Use]]=0,0,(Operations[[#This Row],[Calc Beg Yr. Value]]-Operations[[#This Row],[Calc End Yr. Value]])/(Operations[[#This Row],[Annual Use]])))</f>
        <v>0</v>
      </c>
      <c r="S2" s="109">
        <f>IF(Operations[[#This Row],[Annual Use]]=0,0,Operations[[#This Row],[Calc Beg Yr. Value]]*'General Variables'!$B$7/Operations[[#This Row],[Annual Use]])</f>
        <v>0</v>
      </c>
      <c r="T2" s="109">
        <f>IF(Operations[[#This Row],[Annual Use]]=0,0,Operations[[#This Row],[Calc Beg Yr. Value]]*'General Variables'!$B$8/Operations[[#This Row],[Annual Use]])</f>
        <v>0</v>
      </c>
      <c r="U2" s="109">
        <f>SUM(Operations[[#This Row],[Depreciation per Unit]:[Opportunity Cost per Unit]])</f>
        <v>0</v>
      </c>
      <c r="W2" s="2" t="s">
        <v>125</v>
      </c>
      <c r="X2" s="2" t="s">
        <v>126</v>
      </c>
      <c r="Y2" s="3" t="s">
        <v>127</v>
      </c>
      <c r="Z2" s="3" t="s">
        <v>128</v>
      </c>
      <c r="AA2" s="5">
        <v>3000</v>
      </c>
      <c r="AD2" s="2" t="s">
        <v>231</v>
      </c>
      <c r="AE2" s="2" t="s">
        <v>232</v>
      </c>
      <c r="AF2" s="2" t="s">
        <v>233</v>
      </c>
      <c r="AG2" s="2" t="s">
        <v>234</v>
      </c>
      <c r="AH2" s="2">
        <v>0</v>
      </c>
      <c r="AK2" s="206"/>
      <c r="AL2" s="206"/>
      <c r="AM2" s="206"/>
      <c r="AO2" s="111" t="str">
        <f>IF(PowerUnits[[#This Row],[Name]]=0,"",PowerUnits[[#This Row],[Name]])</f>
        <v>Large Tractor</v>
      </c>
    </row>
    <row r="3" spans="1:41" ht="12.75" customHeight="1">
      <c r="A3" s="128" t="s">
        <v>427</v>
      </c>
      <c r="B3" s="129" t="s">
        <v>79</v>
      </c>
      <c r="C3" s="130"/>
      <c r="D3" s="130"/>
      <c r="E3" s="131"/>
      <c r="F3" s="132"/>
      <c r="G3" s="130"/>
      <c r="H3" s="130"/>
      <c r="I3" s="136">
        <v>40</v>
      </c>
      <c r="J3" s="134">
        <v>1.1000000000000001</v>
      </c>
      <c r="K3" s="130" t="s">
        <v>471</v>
      </c>
      <c r="L3" s="132">
        <v>6.36</v>
      </c>
      <c r="M3" s="135"/>
      <c r="N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08">
        <f>IF(Operations[[#This Row],[Calc List Price]]=0,0,IF(Operations[[#This Row],[Units per Hour]]*Operations[[#This Row],[Annual Use]]=0,0,(Operations[[#This Row],[Calc Beg Yr. Value]]-Operations[[#This Row],[Calc End Yr. Value]])/(Operations[[#This Row],[Annual Use]])))</f>
        <v>0</v>
      </c>
      <c r="S3" s="109">
        <f>IF(Operations[[#This Row],[Annual Use]]=0,0,Operations[[#This Row],[Calc Beg Yr. Value]]*'General Variables'!$B$7/Operations[[#This Row],[Annual Use]])</f>
        <v>0</v>
      </c>
      <c r="T3" s="109">
        <f>IF(Operations[[#This Row],[Annual Use]]=0,0,Operations[[#This Row],[Calc Beg Yr. Value]]*'General Variables'!$B$8/Operations[[#This Row],[Annual Use]])</f>
        <v>0</v>
      </c>
      <c r="U3" s="109">
        <f>SUM(Operations[[#This Row],[Depreciation per Unit]:[Opportunity Cost per Unit]])</f>
        <v>0</v>
      </c>
      <c r="W3" s="2" t="s">
        <v>129</v>
      </c>
      <c r="X3" s="2" t="s">
        <v>126</v>
      </c>
      <c r="Y3" s="3" t="s">
        <v>130</v>
      </c>
      <c r="Z3" s="3" t="s">
        <v>128</v>
      </c>
      <c r="AA3" s="5">
        <v>1500</v>
      </c>
      <c r="AD3" s="2" t="s">
        <v>231</v>
      </c>
      <c r="AE3" s="2" t="s">
        <v>236</v>
      </c>
      <c r="AF3" s="2" t="s">
        <v>237</v>
      </c>
      <c r="AG3" s="2" t="s">
        <v>238</v>
      </c>
      <c r="AH3" s="2"/>
      <c r="AK3" s="87" t="s">
        <v>265</v>
      </c>
      <c r="AL3" s="87" t="s">
        <v>266</v>
      </c>
      <c r="AM3" s="112" t="s">
        <v>267</v>
      </c>
      <c r="AO3" s="111" t="str">
        <f>IF(PowerUnits[[#This Row],[Name]]=0,"",PowerUnits[[#This Row],[Name]])</f>
        <v>Medium Tractor</v>
      </c>
    </row>
    <row r="4" spans="1:41" ht="12.75" customHeight="1">
      <c r="A4" s="128" t="s">
        <v>288</v>
      </c>
      <c r="B4" s="129" t="s">
        <v>79</v>
      </c>
      <c r="C4" s="130" t="s">
        <v>341</v>
      </c>
      <c r="D4" s="130" t="s">
        <v>365</v>
      </c>
      <c r="E4" s="137">
        <v>25000</v>
      </c>
      <c r="F4" s="132">
        <v>15500</v>
      </c>
      <c r="G4" s="131">
        <v>5</v>
      </c>
      <c r="H4" s="131">
        <v>500</v>
      </c>
      <c r="I4" s="136">
        <v>7.8571428571428585</v>
      </c>
      <c r="J4" s="134">
        <v>1.1000000000000001</v>
      </c>
      <c r="K4" s="130" t="s">
        <v>470</v>
      </c>
      <c r="L4" s="132">
        <v>6.3642857142857157</v>
      </c>
      <c r="M4" s="135"/>
      <c r="N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08">
        <f>IF(Operations[[#This Row],[Calc List Price]]=0,0,IF(Operations[[#This Row],[Units per Hour]]*Operations[[#This Row],[Annual Use]]=0,0,(Operations[[#This Row],[Calc Beg Yr. Value]]-Operations[[#This Row],[Calc End Yr. Value]])/(Operations[[#This Row],[Annual Use]])))</f>
        <v>1.6178996437508066</v>
      </c>
      <c r="S4" s="109">
        <f>IF(Operations[[#This Row],[Annual Use]]=0,0,Operations[[#This Row],[Calc Beg Yr. Value]]*'General Variables'!$B$7/Operations[[#This Row],[Annual Use]])</f>
        <v>0.4827421131823289</v>
      </c>
      <c r="T4" s="109">
        <f>IF(Operations[[#This Row],[Annual Use]]=0,0,Operations[[#This Row],[Calc Beg Yr. Value]]*'General Variables'!$B$8/Operations[[#This Row],[Annual Use]])</f>
        <v>0.9654842263646578</v>
      </c>
      <c r="U4" s="109">
        <f>SUM(Operations[[#This Row],[Depreciation per Unit]:[Opportunity Cost per Unit]])</f>
        <v>3.0661259832977934</v>
      </c>
      <c r="W4" s="2" t="s">
        <v>131</v>
      </c>
      <c r="X4" s="2" t="s">
        <v>126</v>
      </c>
      <c r="Y4" s="3" t="s">
        <v>132</v>
      </c>
      <c r="Z4" s="3" t="s">
        <v>128</v>
      </c>
      <c r="AA4" s="5">
        <v>2000</v>
      </c>
      <c r="AD4" s="2" t="s">
        <v>231</v>
      </c>
      <c r="AE4" s="2" t="s">
        <v>239</v>
      </c>
      <c r="AF4" s="2" t="s">
        <v>240</v>
      </c>
      <c r="AG4" s="2" t="s">
        <v>241</v>
      </c>
      <c r="AH4" s="2"/>
      <c r="AK4" s="87" t="s">
        <v>201</v>
      </c>
      <c r="AL4" s="113">
        <v>15</v>
      </c>
      <c r="AM4" s="113">
        <v>2</v>
      </c>
      <c r="AO4" s="111" t="str">
        <f>IF(PowerUnits[[#This Row],[Name]]=0,"",PowerUnits[[#This Row],[Name]])</f>
        <v>Combine</v>
      </c>
    </row>
    <row r="5" spans="1:41" ht="12.75" customHeight="1">
      <c r="A5" s="128" t="s">
        <v>289</v>
      </c>
      <c r="B5" s="129" t="s">
        <v>430</v>
      </c>
      <c r="C5" s="130" t="s">
        <v>393</v>
      </c>
      <c r="D5" s="130" t="s">
        <v>365</v>
      </c>
      <c r="E5" s="131">
        <v>31000</v>
      </c>
      <c r="F5" s="132"/>
      <c r="G5" s="131">
        <v>5</v>
      </c>
      <c r="H5" s="131">
        <f>500*180</f>
        <v>90000</v>
      </c>
      <c r="I5" s="138">
        <v>2600</v>
      </c>
      <c r="J5" s="134">
        <v>1.1000000000000001</v>
      </c>
      <c r="K5" s="130" t="s">
        <v>471</v>
      </c>
      <c r="L5" s="132">
        <v>7</v>
      </c>
      <c r="M5" s="135"/>
      <c r="N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31000</v>
      </c>
      <c r="O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1.127881906111056E-3</v>
      </c>
      <c r="P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14965.005508652195</v>
      </c>
      <c r="Q5"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13961.907729526696</v>
      </c>
      <c r="R5" s="108">
        <f>IF(Operations[[#This Row],[Calc List Price]]=0,0,IF(Operations[[#This Row],[Units per Hour]]*Operations[[#This Row],[Annual Use]]=0,0,(Operations[[#This Row],[Calc Beg Yr. Value]]-Operations[[#This Row],[Calc End Yr. Value]])/(Operations[[#This Row],[Annual Use]])))</f>
        <v>1.1145530879172211E-2</v>
      </c>
      <c r="S5" s="109">
        <f>IF(Operations[[#This Row],[Annual Use]]=0,0,Operations[[#This Row],[Calc Beg Yr. Value]]*'General Variables'!$B$7/Operations[[#This Row],[Annual Use]])</f>
        <v>3.3255567797004877E-3</v>
      </c>
      <c r="T5" s="109">
        <f>IF(Operations[[#This Row],[Annual Use]]=0,0,Operations[[#This Row],[Calc Beg Yr. Value]]*'General Variables'!$B$8/Operations[[#This Row],[Annual Use]])</f>
        <v>6.6511135594009754E-3</v>
      </c>
      <c r="U5" s="109">
        <f>SUM(Operations[[#This Row],[Depreciation per Unit]:[Opportunity Cost per Unit]])</f>
        <v>2.1122201218273677E-2</v>
      </c>
      <c r="W5" s="2" t="s">
        <v>133</v>
      </c>
      <c r="X5" s="2" t="s">
        <v>134</v>
      </c>
      <c r="Y5" s="3" t="s">
        <v>135</v>
      </c>
      <c r="Z5" s="3" t="s">
        <v>136</v>
      </c>
      <c r="AA5" s="4">
        <v>2000</v>
      </c>
      <c r="AD5" s="2" t="s">
        <v>231</v>
      </c>
      <c r="AE5" s="2" t="s">
        <v>242</v>
      </c>
      <c r="AF5" s="2" t="s">
        <v>243</v>
      </c>
      <c r="AG5" s="2" t="s">
        <v>244</v>
      </c>
      <c r="AH5" s="2"/>
      <c r="AK5" s="87" t="s">
        <v>203</v>
      </c>
      <c r="AL5" s="113">
        <v>10</v>
      </c>
      <c r="AM5" s="113">
        <v>3</v>
      </c>
      <c r="AO5" s="111" t="str">
        <f>IF(PowerUnits[[#This Row],[Name]]=0,"",PowerUnits[[#This Row],[Name]])</f>
        <v>Small Tractor</v>
      </c>
    </row>
    <row r="6" spans="1:41" ht="12.75" customHeight="1">
      <c r="A6" s="128" t="s">
        <v>290</v>
      </c>
      <c r="B6" s="129" t="s">
        <v>79</v>
      </c>
      <c r="C6" s="130" t="s">
        <v>341</v>
      </c>
      <c r="D6" s="130" t="s">
        <v>364</v>
      </c>
      <c r="E6" s="137">
        <v>37500</v>
      </c>
      <c r="F6" s="132"/>
      <c r="G6" s="131">
        <v>5</v>
      </c>
      <c r="H6" s="131">
        <v>500</v>
      </c>
      <c r="I6" s="136">
        <v>11.092436974789917</v>
      </c>
      <c r="J6" s="134">
        <v>1.1000000000000001</v>
      </c>
      <c r="K6" s="130" t="s">
        <v>470</v>
      </c>
      <c r="L6" s="132">
        <v>8.2638655462184882</v>
      </c>
      <c r="M6" s="135"/>
      <c r="N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37500</v>
      </c>
      <c r="O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0.758348469653774</v>
      </c>
      <c r="P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15602.510814393418</v>
      </c>
      <c r="Q6"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14487.450773236555</v>
      </c>
      <c r="R6" s="108">
        <f>IF(Operations[[#This Row],[Calc List Price]]=0,0,IF(Operations[[#This Row],[Units per Hour]]*Operations[[#This Row],[Annual Use]]=0,0,(Operations[[#This Row],[Calc Beg Yr. Value]]-Operations[[#This Row],[Calc End Yr. Value]])/(Operations[[#This Row],[Annual Use]])))</f>
        <v>2.2301200823137259</v>
      </c>
      <c r="S6" s="109">
        <f>IF(Operations[[#This Row],[Annual Use]]=0,0,Operations[[#This Row],[Calc Beg Yr. Value]]*'General Variables'!$B$7/Operations[[#This Row],[Annual Use]])</f>
        <v>0.62410043257573666</v>
      </c>
      <c r="T6" s="109">
        <f>IF(Operations[[#This Row],[Annual Use]]=0,0,Operations[[#This Row],[Calc Beg Yr. Value]]*'General Variables'!$B$8/Operations[[#This Row],[Annual Use]])</f>
        <v>1.2482008651514733</v>
      </c>
      <c r="U6" s="109">
        <f>SUM(Operations[[#This Row],[Depreciation per Unit]:[Opportunity Cost per Unit]])</f>
        <v>4.1024213800409353</v>
      </c>
      <c r="W6" s="2" t="s">
        <v>137</v>
      </c>
      <c r="X6" s="2" t="s">
        <v>134</v>
      </c>
      <c r="Y6" s="3" t="s">
        <v>138</v>
      </c>
      <c r="Z6" s="3" t="s">
        <v>139</v>
      </c>
      <c r="AA6" s="5">
        <v>1200</v>
      </c>
      <c r="AD6" s="2" t="s">
        <v>245</v>
      </c>
      <c r="AE6" s="2" t="s">
        <v>246</v>
      </c>
      <c r="AF6" s="2" t="s">
        <v>247</v>
      </c>
      <c r="AG6" s="2" t="s">
        <v>248</v>
      </c>
      <c r="AH6" s="2"/>
      <c r="AK6" s="87" t="s">
        <v>204</v>
      </c>
      <c r="AL6" s="113">
        <v>15</v>
      </c>
      <c r="AM6" s="113">
        <v>2</v>
      </c>
      <c r="AO6" s="111" t="str">
        <f>IF(PowerUnits[[#This Row],[Name]]=0,"",PowerUnits[[#This Row],[Name]])</f>
        <v>Diesel Pump</v>
      </c>
    </row>
    <row r="7" spans="1:41" ht="12.75" customHeight="1">
      <c r="A7" s="128" t="s">
        <v>291</v>
      </c>
      <c r="B7" s="129" t="s">
        <v>3</v>
      </c>
      <c r="C7" s="129"/>
      <c r="D7" s="129"/>
      <c r="E7" s="131"/>
      <c r="F7" s="132"/>
      <c r="G7" s="131"/>
      <c r="H7" s="131"/>
      <c r="I7" s="136" t="s">
        <v>392</v>
      </c>
      <c r="J7" s="134"/>
      <c r="K7" s="130"/>
      <c r="L7" s="132" t="s">
        <v>392</v>
      </c>
      <c r="M7" s="135"/>
      <c r="N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1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08">
        <f>IF(Operations[[#This Row],[Calc List Price]]=0,0,IF(Operations[[#This Row],[Units per Hour]]*Operations[[#This Row],[Annual Use]]=0,0,(Operations[[#This Row],[Calc Beg Yr. Value]]-Operations[[#This Row],[Calc End Yr. Value]])/(Operations[[#This Row],[Annual Use]])))</f>
        <v>0</v>
      </c>
      <c r="S7" s="109">
        <f>IF(Operations[[#This Row],[Annual Use]]=0,0,Operations[[#This Row],[Calc Beg Yr. Value]]*'General Variables'!$B$7/Operations[[#This Row],[Annual Use]])</f>
        <v>0</v>
      </c>
      <c r="T7" s="109">
        <f>IF(Operations[[#This Row],[Annual Use]]=0,0,Operations[[#This Row],[Calc Beg Yr. Value]]*'General Variables'!$B$8/Operations[[#This Row],[Annual Use]])</f>
        <v>0</v>
      </c>
      <c r="U7" s="109">
        <f>SUM(Operations[[#This Row],[Depreciation per Unit]:[Opportunity Cost per Unit]])</f>
        <v>0</v>
      </c>
      <c r="W7" s="2" t="s">
        <v>140</v>
      </c>
      <c r="X7" s="2" t="s">
        <v>141</v>
      </c>
      <c r="Y7" s="3" t="s">
        <v>138</v>
      </c>
      <c r="Z7" s="3" t="s">
        <v>139</v>
      </c>
      <c r="AA7" s="4">
        <v>2000</v>
      </c>
      <c r="AD7" s="2" t="s">
        <v>245</v>
      </c>
      <c r="AE7" s="2" t="s">
        <v>249</v>
      </c>
      <c r="AF7" s="2" t="s">
        <v>250</v>
      </c>
      <c r="AG7" s="2" t="s">
        <v>251</v>
      </c>
      <c r="AH7" s="2"/>
      <c r="AK7" s="87" t="s">
        <v>205</v>
      </c>
      <c r="AL7" s="113">
        <v>10</v>
      </c>
      <c r="AM7" s="113">
        <v>6</v>
      </c>
      <c r="AO7" s="111" t="str">
        <f>IF(PowerUnits[[#This Row],[Name]]=0,"",PowerUnits[[#This Row],[Name]])</f>
        <v>Electric Pump</v>
      </c>
    </row>
    <row r="8" spans="1:41" ht="12.75" customHeight="1">
      <c r="A8" s="128" t="s">
        <v>292</v>
      </c>
      <c r="B8" s="129" t="s">
        <v>79</v>
      </c>
      <c r="C8" s="130" t="s">
        <v>342</v>
      </c>
      <c r="D8" s="130" t="s">
        <v>337</v>
      </c>
      <c r="E8" s="137">
        <v>18000</v>
      </c>
      <c r="F8" s="132"/>
      <c r="G8" s="131">
        <v>5</v>
      </c>
      <c r="H8" s="131">
        <v>500</v>
      </c>
      <c r="I8" s="136">
        <v>12.336448598130842</v>
      </c>
      <c r="J8" s="134">
        <v>1.1000000000000001</v>
      </c>
      <c r="K8" s="130" t="s">
        <v>470</v>
      </c>
      <c r="L8" s="132">
        <v>5.736448598130842</v>
      </c>
      <c r="M8" s="135"/>
      <c r="N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08">
        <f>IF(Operations[[#This Row],[Calc List Price]]=0,0,IF(Operations[[#This Row],[Units per Hour]]*Operations[[#This Row],[Annual Use]]=0,0,(Operations[[#This Row],[Calc Beg Yr. Value]]-Operations[[#This Row],[Calc End Yr. Value]])/(Operations[[#This Row],[Annual Use]])))</f>
        <v>0.80797047025418034</v>
      </c>
      <c r="S8" s="109">
        <f>IF(Operations[[#This Row],[Annual Use]]=0,0,Operations[[#This Row],[Calc Beg Yr. Value]]*'General Variables'!$B$7/Operations[[#This Row],[Annual Use]])</f>
        <v>0.24852757091268632</v>
      </c>
      <c r="T8" s="109">
        <f>IF(Operations[[#This Row],[Annual Use]]=0,0,Operations[[#This Row],[Calc Beg Yr. Value]]*'General Variables'!$B$8/Operations[[#This Row],[Annual Use]])</f>
        <v>0.49705514182537264</v>
      </c>
      <c r="U8" s="109">
        <f>SUM(Operations[[#This Row],[Depreciation per Unit]:[Opportunity Cost per Unit]])</f>
        <v>1.5535531829922393</v>
      </c>
      <c r="W8" s="2" t="s">
        <v>142</v>
      </c>
      <c r="X8" s="2" t="s">
        <v>126</v>
      </c>
      <c r="Y8" s="3" t="s">
        <v>143</v>
      </c>
      <c r="Z8" s="3" t="s">
        <v>144</v>
      </c>
      <c r="AA8" s="5">
        <v>2000</v>
      </c>
      <c r="AD8" s="2" t="s">
        <v>252</v>
      </c>
      <c r="AE8" s="2" t="s">
        <v>253</v>
      </c>
      <c r="AF8" s="2" t="s">
        <v>254</v>
      </c>
      <c r="AG8" s="2" t="s">
        <v>255</v>
      </c>
      <c r="AH8" s="2">
        <v>0</v>
      </c>
      <c r="AK8" s="87" t="s">
        <v>206</v>
      </c>
      <c r="AL8" s="113">
        <v>15</v>
      </c>
      <c r="AM8" s="113">
        <v>6</v>
      </c>
      <c r="AO8" s="111" t="str">
        <f>IF(PowerUnits[[#This Row],[Name]]=0,"",PowerUnits[[#This Row],[Name]])</f>
        <v>Diesel Pump for Pipe</v>
      </c>
    </row>
    <row r="9" spans="1:41" ht="12.75" customHeight="1">
      <c r="A9" s="128" t="s">
        <v>293</v>
      </c>
      <c r="B9" s="129" t="s">
        <v>79</v>
      </c>
      <c r="C9" s="130" t="s">
        <v>343</v>
      </c>
      <c r="D9" s="130" t="s">
        <v>279</v>
      </c>
      <c r="E9" s="131"/>
      <c r="F9" s="132">
        <v>15000</v>
      </c>
      <c r="G9" s="131">
        <v>5</v>
      </c>
      <c r="H9" s="137">
        <v>1000</v>
      </c>
      <c r="I9" s="139">
        <v>7</v>
      </c>
      <c r="J9" s="134">
        <v>1.1000000000000001</v>
      </c>
      <c r="K9" s="130" t="s">
        <v>274</v>
      </c>
      <c r="L9" s="132">
        <v>10.468032786885246</v>
      </c>
      <c r="M9" s="135"/>
      <c r="N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9" s="108">
        <f>IF(Operations[[#This Row],[Calc List Price]]=0,0,IF(Operations[[#This Row],[Units per Hour]]*Operations[[#This Row],[Annual Use]]=0,0,(Operations[[#This Row],[Calc Beg Yr. Value]]-Operations[[#This Row],[Calc End Yr. Value]])/(Operations[[#This Row],[Annual Use]])))</f>
        <v>1.3525485337092469</v>
      </c>
      <c r="S9" s="109">
        <f>IF(Operations[[#This Row],[Annual Use]]=0,0,Operations[[#This Row],[Calc Beg Yr. Value]]*'General Variables'!$B$7/Operations[[#This Row],[Annual Use]])</f>
        <v>0.3</v>
      </c>
      <c r="T9" s="109">
        <f>IF(Operations[[#This Row],[Annual Use]]=0,0,Operations[[#This Row],[Calc Beg Yr. Value]]*'General Variables'!$B$8/Operations[[#This Row],[Annual Use]])</f>
        <v>0.6</v>
      </c>
      <c r="U9" s="109">
        <f>SUM(Operations[[#This Row],[Depreciation per Unit]:[Opportunity Cost per Unit]])</f>
        <v>2.252548533709247</v>
      </c>
      <c r="W9" s="2" t="s">
        <v>148</v>
      </c>
      <c r="X9" s="2" t="s">
        <v>126</v>
      </c>
      <c r="Y9" s="3" t="s">
        <v>149</v>
      </c>
      <c r="Z9" s="3" t="s">
        <v>144</v>
      </c>
      <c r="AA9" s="5">
        <v>2000</v>
      </c>
      <c r="AD9" s="2" t="s">
        <v>252</v>
      </c>
      <c r="AE9" s="2" t="s">
        <v>257</v>
      </c>
      <c r="AF9" s="2" t="s">
        <v>258</v>
      </c>
      <c r="AG9" s="2" t="s">
        <v>259</v>
      </c>
      <c r="AH9" s="2"/>
      <c r="AK9" s="87" t="s">
        <v>207</v>
      </c>
      <c r="AL9" s="113">
        <v>15</v>
      </c>
      <c r="AM9" s="113">
        <v>6</v>
      </c>
      <c r="AO9" s="111" t="str">
        <f>IF(PowerUnits[[#This Row],[Name]]=0,"",PowerUnits[[#This Row],[Name]])</f>
        <v>Windrower</v>
      </c>
    </row>
    <row r="10" spans="1:41" ht="12.75" customHeight="1">
      <c r="A10" s="128" t="s">
        <v>285</v>
      </c>
      <c r="B10" s="129" t="s">
        <v>79</v>
      </c>
      <c r="C10" s="130" t="s">
        <v>343</v>
      </c>
      <c r="D10" s="130" t="s">
        <v>279</v>
      </c>
      <c r="E10" s="137">
        <v>46400</v>
      </c>
      <c r="F10" s="132"/>
      <c r="G10" s="131">
        <v>5</v>
      </c>
      <c r="H10" s="137">
        <v>1000</v>
      </c>
      <c r="I10" s="136">
        <v>5</v>
      </c>
      <c r="J10" s="134">
        <v>1.1000000000000001</v>
      </c>
      <c r="K10" s="130" t="s">
        <v>274</v>
      </c>
      <c r="L10" s="132">
        <v>10.5</v>
      </c>
      <c r="M10" s="135"/>
      <c r="N1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46400</v>
      </c>
      <c r="O1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2.9006872093484954</v>
      </c>
      <c r="P1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27016.095909488278</v>
      </c>
      <c r="Q1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24580.057182226497</v>
      </c>
      <c r="R10" s="108">
        <f>IF(Operations[[#This Row],[Calc List Price]]=0,0,IF(Operations[[#This Row],[Units per Hour]]*Operations[[#This Row],[Annual Use]]=0,0,(Operations[[#This Row],[Calc Beg Yr. Value]]-Operations[[#This Row],[Calc End Yr. Value]])/(Operations[[#This Row],[Annual Use]])))</f>
        <v>2.4360387272617809</v>
      </c>
      <c r="S10" s="109">
        <f>IF(Operations[[#This Row],[Annual Use]]=0,0,Operations[[#This Row],[Calc Beg Yr. Value]]*'General Variables'!$B$7/Operations[[#This Row],[Annual Use]])</f>
        <v>0.5403219181897656</v>
      </c>
      <c r="T10" s="109">
        <f>IF(Operations[[#This Row],[Annual Use]]=0,0,Operations[[#This Row],[Calc Beg Yr. Value]]*'General Variables'!$B$8/Operations[[#This Row],[Annual Use]])</f>
        <v>1.0806438363795312</v>
      </c>
      <c r="U10" s="109">
        <f>SUM(Operations[[#This Row],[Depreciation per Unit]:[Opportunity Cost per Unit]])</f>
        <v>4.0570044818310773</v>
      </c>
      <c r="W10" s="2" t="s">
        <v>152</v>
      </c>
      <c r="X10" s="2" t="s">
        <v>141</v>
      </c>
      <c r="Y10" s="3" t="s">
        <v>153</v>
      </c>
      <c r="Z10" s="3" t="s">
        <v>139</v>
      </c>
      <c r="AA10" s="5">
        <v>2000</v>
      </c>
      <c r="AD10" s="2" t="s">
        <v>260</v>
      </c>
      <c r="AE10" s="2" t="s">
        <v>261</v>
      </c>
      <c r="AF10" s="2" t="s">
        <v>262</v>
      </c>
      <c r="AG10" s="2" t="s">
        <v>263</v>
      </c>
      <c r="AH10" s="2"/>
      <c r="AK10" s="87" t="s">
        <v>208</v>
      </c>
      <c r="AL10" s="113">
        <v>15</v>
      </c>
      <c r="AM10" s="113">
        <v>6</v>
      </c>
      <c r="AO10" s="111" t="str">
        <f>IF(PowerUnits[[#This Row],[Name]]=0,"",PowerUnits[[#This Row],[Name]])</f>
        <v>none</v>
      </c>
    </row>
    <row r="11" spans="1:41" ht="12.75" customHeight="1">
      <c r="A11" s="128" t="s">
        <v>287</v>
      </c>
      <c r="B11" s="129" t="s">
        <v>79</v>
      </c>
      <c r="C11" s="130" t="s">
        <v>343</v>
      </c>
      <c r="D11" s="130" t="s">
        <v>279</v>
      </c>
      <c r="E11" s="137">
        <v>18000</v>
      </c>
      <c r="F11" s="132"/>
      <c r="G11" s="131">
        <v>5</v>
      </c>
      <c r="H11" s="131">
        <v>300</v>
      </c>
      <c r="I11" s="136">
        <v>4.75</v>
      </c>
      <c r="J11" s="134">
        <v>1.1000000000000001</v>
      </c>
      <c r="K11" s="130" t="s">
        <v>274</v>
      </c>
      <c r="L11" s="132">
        <v>8</v>
      </c>
      <c r="M11" s="135"/>
      <c r="N1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0.26469684414399974</v>
      </c>
      <c r="P1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1"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1" s="108">
        <f>IF(Operations[[#This Row],[Calc List Price]]=0,0,IF(Operations[[#This Row],[Units per Hour]]*Operations[[#This Row],[Annual Use]]=0,0,(Operations[[#This Row],[Calc Beg Yr. Value]]-Operations[[#This Row],[Calc End Yr. Value]])/(Operations[[#This Row],[Annual Use]])))</f>
        <v>3.1500500783557559</v>
      </c>
      <c r="S11" s="109">
        <f>IF(Operations[[#This Row],[Annual Use]]=0,0,Operations[[#This Row],[Calc Beg Yr. Value]]*'General Variables'!$B$7/Operations[[#This Row],[Annual Use]])</f>
        <v>0.69869213559021415</v>
      </c>
      <c r="T11" s="109">
        <f>IF(Operations[[#This Row],[Annual Use]]=0,0,Operations[[#This Row],[Calc Beg Yr. Value]]*'General Variables'!$B$8/Operations[[#This Row],[Annual Use]])</f>
        <v>1.3973842711804283</v>
      </c>
      <c r="U11" s="109">
        <f>SUM(Operations[[#This Row],[Depreciation per Unit]:[Opportunity Cost per Unit]])</f>
        <v>5.246126485126398</v>
      </c>
      <c r="W11" s="2" t="s">
        <v>154</v>
      </c>
      <c r="X11" s="2" t="s">
        <v>141</v>
      </c>
      <c r="Y11" s="3" t="s">
        <v>155</v>
      </c>
      <c r="Z11" s="3" t="s">
        <v>156</v>
      </c>
      <c r="AA11" s="4">
        <v>2000</v>
      </c>
      <c r="AD11" s="2" t="s">
        <v>207</v>
      </c>
      <c r="AE11" s="2" t="s">
        <v>391</v>
      </c>
      <c r="AF11" s="2" t="s">
        <v>250</v>
      </c>
      <c r="AG11" s="2" t="s">
        <v>251</v>
      </c>
      <c r="AH11" s="2"/>
      <c r="AK11" s="87" t="s">
        <v>209</v>
      </c>
      <c r="AL11" s="113">
        <v>15</v>
      </c>
      <c r="AM11" s="113">
        <v>6</v>
      </c>
      <c r="AO11" s="111" t="str">
        <f>IF(PowerUnits[[#This Row],[Name]]=0,"",PowerUnits[[#This Row],[Name]])</f>
        <v/>
      </c>
    </row>
    <row r="12" spans="1:41" ht="12.75" customHeight="1">
      <c r="A12" s="128" t="s">
        <v>286</v>
      </c>
      <c r="B12" s="129" t="s">
        <v>79</v>
      </c>
      <c r="C12" s="130" t="s">
        <v>343</v>
      </c>
      <c r="D12" s="130" t="s">
        <v>279</v>
      </c>
      <c r="E12" s="131">
        <v>18000</v>
      </c>
      <c r="F12" s="132"/>
      <c r="G12" s="131">
        <v>5</v>
      </c>
      <c r="H12" s="137">
        <v>1000</v>
      </c>
      <c r="I12" s="136">
        <v>6</v>
      </c>
      <c r="J12" s="134">
        <v>1.1000000000000001</v>
      </c>
      <c r="K12" s="130" t="s">
        <v>274</v>
      </c>
      <c r="L12" s="132">
        <v>10.5</v>
      </c>
      <c r="M12" s="135"/>
      <c r="N1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0.73984127850138903</v>
      </c>
      <c r="P1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2"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2" s="108">
        <f>IF(Operations[[#This Row],[Calc List Price]]=0,0,IF(Operations[[#This Row],[Units per Hour]]*Operations[[#This Row],[Annual Use]]=0,0,(Operations[[#This Row],[Calc Beg Yr. Value]]-Operations[[#This Row],[Calc End Yr. Value]])/(Operations[[#This Row],[Annual Use]])))</f>
        <v>0.94501502350672673</v>
      </c>
      <c r="S12" s="109">
        <f>IF(Operations[[#This Row],[Annual Use]]=0,0,Operations[[#This Row],[Calc Beg Yr. Value]]*'General Variables'!$B$7/Operations[[#This Row],[Annual Use]])</f>
        <v>0.20960764067706425</v>
      </c>
      <c r="T12" s="109">
        <f>IF(Operations[[#This Row],[Annual Use]]=0,0,Operations[[#This Row],[Calc Beg Yr. Value]]*'General Variables'!$B$8/Operations[[#This Row],[Annual Use]])</f>
        <v>0.4192152813541285</v>
      </c>
      <c r="U12" s="109">
        <f>SUM(Operations[[#This Row],[Depreciation per Unit]:[Opportunity Cost per Unit]])</f>
        <v>1.5738379455379194</v>
      </c>
      <c r="W12" s="2" t="s">
        <v>157</v>
      </c>
      <c r="X12" s="2" t="s">
        <v>141</v>
      </c>
      <c r="Y12" s="3" t="s">
        <v>158</v>
      </c>
      <c r="Z12" s="3" t="s">
        <v>159</v>
      </c>
      <c r="AA12" s="4">
        <v>2000</v>
      </c>
      <c r="AK12" s="87" t="s">
        <v>210</v>
      </c>
      <c r="AL12" s="113">
        <v>15</v>
      </c>
      <c r="AM12" s="113">
        <v>6</v>
      </c>
    </row>
    <row r="13" spans="1:41" ht="12.75" customHeight="1">
      <c r="A13" s="128" t="s">
        <v>284</v>
      </c>
      <c r="B13" s="129" t="s">
        <v>79</v>
      </c>
      <c r="C13" s="130" t="s">
        <v>343</v>
      </c>
      <c r="D13" s="130" t="s">
        <v>279</v>
      </c>
      <c r="E13" s="131">
        <v>18000</v>
      </c>
      <c r="F13" s="132"/>
      <c r="G13" s="131">
        <v>5</v>
      </c>
      <c r="H13" s="137">
        <v>1000</v>
      </c>
      <c r="I13" s="136">
        <v>7.33</v>
      </c>
      <c r="J13" s="134">
        <v>1.1000000000000001</v>
      </c>
      <c r="K13" s="130" t="s">
        <v>274</v>
      </c>
      <c r="L13" s="132">
        <v>10.5</v>
      </c>
      <c r="M13" s="135"/>
      <c r="N1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0.46681767661576495</v>
      </c>
      <c r="P1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3" s="108">
        <f>IF(Operations[[#This Row],[Calc List Price]]=0,0,IF(Operations[[#This Row],[Units per Hour]]*Operations[[#This Row],[Annual Use]]=0,0,(Operations[[#This Row],[Calc Beg Yr. Value]]-Operations[[#This Row],[Calc End Yr. Value]])/(Operations[[#This Row],[Annual Use]])))</f>
        <v>0.94501502350672673</v>
      </c>
      <c r="S13" s="109">
        <f>IF(Operations[[#This Row],[Annual Use]]=0,0,Operations[[#This Row],[Calc Beg Yr. Value]]*'General Variables'!$B$7/Operations[[#This Row],[Annual Use]])</f>
        <v>0.20960764067706425</v>
      </c>
      <c r="T13" s="109">
        <f>IF(Operations[[#This Row],[Annual Use]]=0,0,Operations[[#This Row],[Calc Beg Yr. Value]]*'General Variables'!$B$8/Operations[[#This Row],[Annual Use]])</f>
        <v>0.4192152813541285</v>
      </c>
      <c r="U13" s="109">
        <f>SUM(Operations[[#This Row],[Depreciation per Unit]:[Opportunity Cost per Unit]])</f>
        <v>1.5738379455379194</v>
      </c>
      <c r="W13" s="2" t="s">
        <v>160</v>
      </c>
      <c r="X13" s="2" t="s">
        <v>141</v>
      </c>
      <c r="Y13" s="3" t="s">
        <v>158</v>
      </c>
      <c r="Z13" s="3" t="s">
        <v>159</v>
      </c>
      <c r="AA13" s="5">
        <v>2000</v>
      </c>
      <c r="AK13" s="87" t="s">
        <v>211</v>
      </c>
      <c r="AL13" s="113">
        <v>15</v>
      </c>
      <c r="AM13" s="113">
        <v>2</v>
      </c>
    </row>
    <row r="14" spans="1:41" ht="12.75" customHeight="1">
      <c r="A14" s="128" t="s">
        <v>480</v>
      </c>
      <c r="B14" s="129" t="s">
        <v>79</v>
      </c>
      <c r="C14" s="130" t="s">
        <v>343</v>
      </c>
      <c r="D14" s="130" t="s">
        <v>279</v>
      </c>
      <c r="E14" s="137">
        <v>46400</v>
      </c>
      <c r="F14" s="132"/>
      <c r="G14" s="131">
        <v>5</v>
      </c>
      <c r="H14" s="137">
        <v>1000</v>
      </c>
      <c r="I14" s="138">
        <v>5.5</v>
      </c>
      <c r="J14" s="134">
        <v>1.1000000000000001</v>
      </c>
      <c r="K14" s="130" t="s">
        <v>274</v>
      </c>
      <c r="L14" s="132">
        <v>10.5</v>
      </c>
      <c r="M14" s="135"/>
      <c r="N1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46400</v>
      </c>
      <c r="O1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2.329687792840955</v>
      </c>
      <c r="P1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27016.095909488278</v>
      </c>
      <c r="Q14"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24580.057182226497</v>
      </c>
      <c r="R14" s="108">
        <f>IF(Operations[[#This Row],[Calc List Price]]=0,0,IF(Operations[[#This Row],[Units per Hour]]*Operations[[#This Row],[Annual Use]]=0,0,(Operations[[#This Row],[Calc Beg Yr. Value]]-Operations[[#This Row],[Calc End Yr. Value]])/(Operations[[#This Row],[Annual Use]])))</f>
        <v>2.4360387272617809</v>
      </c>
      <c r="S14" s="109">
        <f>IF(Operations[[#This Row],[Annual Use]]=0,0,Operations[[#This Row],[Calc Beg Yr. Value]]*'General Variables'!$B$7/Operations[[#This Row],[Annual Use]])</f>
        <v>0.5403219181897656</v>
      </c>
      <c r="T14" s="109">
        <f>IF(Operations[[#This Row],[Annual Use]]=0,0,Operations[[#This Row],[Calc Beg Yr. Value]]*'General Variables'!$B$8/Operations[[#This Row],[Annual Use]])</f>
        <v>1.0806438363795312</v>
      </c>
      <c r="U14" s="109">
        <f>SUM(Operations[[#This Row],[Depreciation per Unit]:[Opportunity Cost per Unit]])</f>
        <v>4.0570044818310773</v>
      </c>
      <c r="W14" s="2" t="s">
        <v>161</v>
      </c>
      <c r="X14" s="2" t="s">
        <v>141</v>
      </c>
      <c r="Y14" s="3" t="s">
        <v>162</v>
      </c>
      <c r="Z14" s="3" t="s">
        <v>147</v>
      </c>
      <c r="AA14" s="5">
        <v>1500</v>
      </c>
      <c r="AK14" s="87" t="s">
        <v>212</v>
      </c>
      <c r="AL14" s="113">
        <v>20</v>
      </c>
      <c r="AM14" s="113">
        <v>1</v>
      </c>
    </row>
    <row r="15" spans="1:41" ht="12.75" customHeight="1">
      <c r="A15" s="128" t="s">
        <v>485</v>
      </c>
      <c r="B15" s="129" t="s">
        <v>79</v>
      </c>
      <c r="C15" s="130" t="s">
        <v>343</v>
      </c>
      <c r="D15" s="130" t="s">
        <v>279</v>
      </c>
      <c r="E15" s="131">
        <v>18000</v>
      </c>
      <c r="F15" s="132"/>
      <c r="G15" s="131">
        <v>5</v>
      </c>
      <c r="H15" s="137">
        <v>1000</v>
      </c>
      <c r="I15" s="136">
        <v>5.64</v>
      </c>
      <c r="J15" s="134">
        <v>1.1000000000000001</v>
      </c>
      <c r="K15" s="130" t="s">
        <v>274</v>
      </c>
      <c r="L15" s="132">
        <v>10.5</v>
      </c>
      <c r="M15" s="135"/>
      <c r="N1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0.85299109109321392</v>
      </c>
      <c r="P1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5"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5" s="108">
        <f>IF(Operations[[#This Row],[Calc List Price]]=0,0,IF(Operations[[#This Row],[Units per Hour]]*Operations[[#This Row],[Annual Use]]=0,0,(Operations[[#This Row],[Calc Beg Yr. Value]]-Operations[[#This Row],[Calc End Yr. Value]])/(Operations[[#This Row],[Annual Use]])))</f>
        <v>0.94501502350672673</v>
      </c>
      <c r="S15" s="109">
        <f>IF(Operations[[#This Row],[Annual Use]]=0,0,Operations[[#This Row],[Calc Beg Yr. Value]]*'General Variables'!$B$7/Operations[[#This Row],[Annual Use]])</f>
        <v>0.20960764067706425</v>
      </c>
      <c r="T15" s="109">
        <f>IF(Operations[[#This Row],[Annual Use]]=0,0,Operations[[#This Row],[Calc Beg Yr. Value]]*'General Variables'!$B$8/Operations[[#This Row],[Annual Use]])</f>
        <v>0.4192152813541285</v>
      </c>
      <c r="U15" s="109">
        <f>SUM(Operations[[#This Row],[Depreciation per Unit]:[Opportunity Cost per Unit]])</f>
        <v>1.5738379455379194</v>
      </c>
      <c r="W15" s="2" t="s">
        <v>163</v>
      </c>
      <c r="X15" s="2" t="s">
        <v>134</v>
      </c>
      <c r="Y15" s="3" t="s">
        <v>164</v>
      </c>
      <c r="Z15" s="3" t="s">
        <v>165</v>
      </c>
      <c r="AA15" s="5">
        <v>1200</v>
      </c>
      <c r="AK15" s="87" t="s">
        <v>213</v>
      </c>
      <c r="AL15" s="113">
        <v>15</v>
      </c>
      <c r="AM15" s="113">
        <v>3</v>
      </c>
    </row>
    <row r="16" spans="1:41" ht="12.75" customHeight="1">
      <c r="A16" s="128" t="s">
        <v>482</v>
      </c>
      <c r="B16" s="129" t="s">
        <v>79</v>
      </c>
      <c r="C16" s="130" t="s">
        <v>343</v>
      </c>
      <c r="D16" s="130" t="s">
        <v>279</v>
      </c>
      <c r="E16" s="131">
        <v>18000</v>
      </c>
      <c r="F16" s="132"/>
      <c r="G16" s="131">
        <v>5</v>
      </c>
      <c r="H16" s="137">
        <v>1000</v>
      </c>
      <c r="I16" s="136">
        <v>7</v>
      </c>
      <c r="J16" s="134">
        <v>1.1000000000000001</v>
      </c>
      <c r="K16" s="130" t="s">
        <v>274</v>
      </c>
      <c r="L16" s="132">
        <v>10.5</v>
      </c>
      <c r="M16" s="135"/>
      <c r="N1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0.5189923333429779</v>
      </c>
      <c r="P1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6"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6" s="108">
        <f>IF(Operations[[#This Row],[Calc List Price]]=0,0,IF(Operations[[#This Row],[Units per Hour]]*Operations[[#This Row],[Annual Use]]=0,0,(Operations[[#This Row],[Calc Beg Yr. Value]]-Operations[[#This Row],[Calc End Yr. Value]])/(Operations[[#This Row],[Annual Use]])))</f>
        <v>0.94501502350672673</v>
      </c>
      <c r="S16" s="109">
        <f>IF(Operations[[#This Row],[Annual Use]]=0,0,Operations[[#This Row],[Calc Beg Yr. Value]]*'General Variables'!$B$7/Operations[[#This Row],[Annual Use]])</f>
        <v>0.20960764067706425</v>
      </c>
      <c r="T16" s="109">
        <f>IF(Operations[[#This Row],[Annual Use]]=0,0,Operations[[#This Row],[Calc Beg Yr. Value]]*'General Variables'!$B$8/Operations[[#This Row],[Annual Use]])</f>
        <v>0.4192152813541285</v>
      </c>
      <c r="U16" s="109">
        <f>SUM(Operations[[#This Row],[Depreciation per Unit]:[Opportunity Cost per Unit]])</f>
        <v>1.5738379455379194</v>
      </c>
      <c r="W16" s="2" t="s">
        <v>166</v>
      </c>
      <c r="X16" s="2" t="s">
        <v>134</v>
      </c>
      <c r="Y16" s="3" t="s">
        <v>167</v>
      </c>
      <c r="Z16" s="3" t="s">
        <v>128</v>
      </c>
      <c r="AA16" s="4">
        <v>1500</v>
      </c>
      <c r="AK16" s="207" t="s">
        <v>268</v>
      </c>
      <c r="AL16" s="207"/>
      <c r="AM16" s="207"/>
    </row>
    <row r="17" spans="1:39" ht="12.75" customHeight="1">
      <c r="A17" s="128" t="s">
        <v>487</v>
      </c>
      <c r="B17" s="129" t="s">
        <v>79</v>
      </c>
      <c r="C17" s="130" t="s">
        <v>343</v>
      </c>
      <c r="D17" s="130" t="s">
        <v>279</v>
      </c>
      <c r="E17" s="141">
        <v>35000</v>
      </c>
      <c r="F17" s="132"/>
      <c r="G17" s="131">
        <v>5</v>
      </c>
      <c r="H17" s="131">
        <v>300</v>
      </c>
      <c r="I17" s="136">
        <v>7</v>
      </c>
      <c r="J17" s="134">
        <v>1.1000000000000001</v>
      </c>
      <c r="K17" s="130" t="s">
        <v>274</v>
      </c>
      <c r="L17" s="132">
        <v>10.5</v>
      </c>
      <c r="M17" s="135"/>
      <c r="N1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0.21096679871798479</v>
      </c>
      <c r="P1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7"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7" s="108">
        <f>IF(Operations[[#This Row],[Calc List Price]]=0,0,IF(Operations[[#This Row],[Units per Hour]]*Operations[[#This Row],[Annual Use]]=0,0,(Operations[[#This Row],[Calc Beg Yr. Value]]-Operations[[#This Row],[Calc End Yr. Value]])/(Operations[[#This Row],[Annual Use]])))</f>
        <v>6.1250973745806307</v>
      </c>
      <c r="S17" s="109">
        <f>IF(Operations[[#This Row],[Annual Use]]=0,0,Operations[[#This Row],[Calc Beg Yr. Value]]*'General Variables'!$B$7/Operations[[#This Row],[Annual Use]])</f>
        <v>1.3585680414254162</v>
      </c>
      <c r="T17" s="109">
        <f>IF(Operations[[#This Row],[Annual Use]]=0,0,Operations[[#This Row],[Calc Beg Yr. Value]]*'General Variables'!$B$8/Operations[[#This Row],[Annual Use]])</f>
        <v>2.7171360828508324</v>
      </c>
      <c r="U17" s="109">
        <f>SUM(Operations[[#This Row],[Depreciation per Unit]:[Opportunity Cost per Unit]])</f>
        <v>10.20080149885688</v>
      </c>
      <c r="W17" s="2" t="s">
        <v>168</v>
      </c>
      <c r="X17" s="2" t="s">
        <v>126</v>
      </c>
      <c r="Y17" s="3" t="s">
        <v>169</v>
      </c>
      <c r="Z17" s="3" t="s">
        <v>136</v>
      </c>
      <c r="AA17" s="5">
        <v>2500</v>
      </c>
      <c r="AK17" s="207"/>
      <c r="AL17" s="207"/>
      <c r="AM17" s="207"/>
    </row>
    <row r="18" spans="1:39" ht="12.75" customHeight="1">
      <c r="A18" s="128" t="s">
        <v>439</v>
      </c>
      <c r="B18" s="129" t="s">
        <v>79</v>
      </c>
      <c r="C18" s="130" t="s">
        <v>344</v>
      </c>
      <c r="D18" s="130" t="s">
        <v>364</v>
      </c>
      <c r="E18" s="131">
        <v>30183</v>
      </c>
      <c r="F18" s="132"/>
      <c r="G18" s="131">
        <v>5</v>
      </c>
      <c r="H18" s="131">
        <v>300</v>
      </c>
      <c r="I18" s="136">
        <v>7.0212765957446823</v>
      </c>
      <c r="J18" s="134">
        <v>1.1000000000000001</v>
      </c>
      <c r="K18" s="130" t="s">
        <v>471</v>
      </c>
      <c r="L18" s="132">
        <v>4.3882978723404262</v>
      </c>
      <c r="M18" s="135"/>
      <c r="N1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1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1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1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18" s="108">
        <f>IF(Operations[[#This Row],[Calc List Price]]=0,0,IF(Operations[[#This Row],[Units per Hour]]*Operations[[#This Row],[Annual Use]]=0,0,(Operations[[#This Row],[Calc Beg Yr. Value]]-Operations[[#This Row],[Calc End Yr. Value]])/(Operations[[#This Row],[Annual Use]])))</f>
        <v>2.9916317530877858</v>
      </c>
      <c r="S18" s="109">
        <f>IF(Operations[[#This Row],[Annual Use]]=0,0,Operations[[#This Row],[Calc Beg Yr. Value]]*'General Variables'!$B$7/Operations[[#This Row],[Annual Use]])</f>
        <v>0.83720992695259833</v>
      </c>
      <c r="T18" s="109">
        <f>IF(Operations[[#This Row],[Annual Use]]=0,0,Operations[[#This Row],[Calc Beg Yr. Value]]*'General Variables'!$B$8/Operations[[#This Row],[Annual Use]])</f>
        <v>1.6744198539051967</v>
      </c>
      <c r="U18" s="109">
        <f>SUM(Operations[[#This Row],[Depreciation per Unit]:[Opportunity Cost per Unit]])</f>
        <v>5.5032615339455813</v>
      </c>
      <c r="W18" s="2" t="s">
        <v>172</v>
      </c>
      <c r="X18" s="2" t="s">
        <v>141</v>
      </c>
      <c r="Y18" s="3" t="s">
        <v>153</v>
      </c>
      <c r="Z18" s="3" t="s">
        <v>139</v>
      </c>
      <c r="AA18" s="5">
        <v>2000</v>
      </c>
      <c r="AK18" s="207"/>
      <c r="AL18" s="207"/>
      <c r="AM18" s="207"/>
    </row>
    <row r="19" spans="1:39" ht="12.75" customHeight="1">
      <c r="A19" s="128" t="s">
        <v>443</v>
      </c>
      <c r="B19" s="129" t="s">
        <v>79</v>
      </c>
      <c r="C19" s="130" t="s">
        <v>344</v>
      </c>
      <c r="D19" s="130" t="s">
        <v>364</v>
      </c>
      <c r="E19" s="131">
        <v>20000</v>
      </c>
      <c r="F19" s="132"/>
      <c r="G19" s="131">
        <v>10</v>
      </c>
      <c r="H19" s="131">
        <v>200</v>
      </c>
      <c r="I19" s="133">
        <v>10</v>
      </c>
      <c r="J19" s="134">
        <v>1</v>
      </c>
      <c r="K19" s="130" t="s">
        <v>471</v>
      </c>
      <c r="L19" s="132">
        <v>2</v>
      </c>
      <c r="M19" s="135"/>
      <c r="N1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1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0.40492081399481245</v>
      </c>
      <c r="P1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5900.2266610758843</v>
      </c>
      <c r="Q1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5537.1241718906913</v>
      </c>
      <c r="R19" s="108">
        <f>IF(Operations[[#This Row],[Calc List Price]]=0,0,IF(Operations[[#This Row],[Units per Hour]]*Operations[[#This Row],[Annual Use]]=0,0,(Operations[[#This Row],[Calc Beg Yr. Value]]-Operations[[#This Row],[Calc End Yr. Value]])/(Operations[[#This Row],[Annual Use]])))</f>
        <v>1.8155124459259651</v>
      </c>
      <c r="S19" s="109">
        <f>IF(Operations[[#This Row],[Annual Use]]=0,0,Operations[[#This Row],[Calc Beg Yr. Value]]*'General Variables'!$B$7/Operations[[#This Row],[Annual Use]])</f>
        <v>0.59002266610758847</v>
      </c>
      <c r="T19" s="109">
        <f>IF(Operations[[#This Row],[Annual Use]]=0,0,Operations[[#This Row],[Calc Beg Yr. Value]]*'General Variables'!$B$8/Operations[[#This Row],[Annual Use]])</f>
        <v>1.1800453322151769</v>
      </c>
      <c r="U19" s="109">
        <f>SUM(Operations[[#This Row],[Depreciation per Unit]:[Opportunity Cost per Unit]])</f>
        <v>3.5855804442487305</v>
      </c>
      <c r="W19" s="2" t="s">
        <v>173</v>
      </c>
      <c r="X19" s="2" t="s">
        <v>126</v>
      </c>
      <c r="Y19" s="3" t="s">
        <v>174</v>
      </c>
      <c r="Z19" s="3" t="s">
        <v>159</v>
      </c>
      <c r="AA19" s="5">
        <v>2000</v>
      </c>
      <c r="AK19" s="207"/>
      <c r="AL19" s="207"/>
      <c r="AM19" s="207"/>
    </row>
    <row r="20" spans="1:39" ht="12.75" customHeight="1">
      <c r="A20" s="128" t="s">
        <v>294</v>
      </c>
      <c r="B20" s="129" t="s">
        <v>79</v>
      </c>
      <c r="C20" s="130" t="s">
        <v>345</v>
      </c>
      <c r="D20" s="130" t="s">
        <v>364</v>
      </c>
      <c r="E20" s="131">
        <v>45905</v>
      </c>
      <c r="F20" s="132"/>
      <c r="G20" s="131">
        <v>5</v>
      </c>
      <c r="H20" s="131">
        <v>2000</v>
      </c>
      <c r="I20" s="138">
        <v>10.90909090909091</v>
      </c>
      <c r="J20" s="134">
        <v>1.1000000000000001</v>
      </c>
      <c r="K20" s="130" t="s">
        <v>470</v>
      </c>
      <c r="L20" s="132">
        <v>8.290909090909091</v>
      </c>
      <c r="M20" s="135"/>
      <c r="N2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0" s="108">
        <f>IF(Operations[[#This Row],[Calc List Price]]=0,0,IF(Operations[[#This Row],[Units per Hour]]*Operations[[#This Row],[Annual Use]]=0,0,(Operations[[#This Row],[Calc Beg Yr. Value]]-Operations[[#This Row],[Calc End Yr. Value]])/(Operations[[#This Row],[Annual Use]])))</f>
        <v>0.68249108252407675</v>
      </c>
      <c r="S20" s="109">
        <f>IF(Operations[[#This Row],[Annual Use]]=0,0,Operations[[#This Row],[Calc Beg Yr. Value]]*'General Variables'!$B$7/Operations[[#This Row],[Annual Use]])</f>
        <v>0.19099553571592795</v>
      </c>
      <c r="T20" s="109">
        <f>IF(Operations[[#This Row],[Annual Use]]=0,0,Operations[[#This Row],[Calc Beg Yr. Value]]*'General Variables'!$B$8/Operations[[#This Row],[Annual Use]])</f>
        <v>0.3819910714318559</v>
      </c>
      <c r="U20" s="109">
        <f>SUM(Operations[[#This Row],[Depreciation per Unit]:[Opportunity Cost per Unit]])</f>
        <v>1.2554776896718607</v>
      </c>
      <c r="W20" s="2" t="s">
        <v>175</v>
      </c>
      <c r="X20" s="2" t="s">
        <v>126</v>
      </c>
      <c r="Y20" s="3" t="s">
        <v>176</v>
      </c>
      <c r="Z20" s="3" t="s">
        <v>122</v>
      </c>
      <c r="AA20" s="5">
        <v>2000</v>
      </c>
      <c r="AK20" s="112"/>
      <c r="AL20" s="112"/>
      <c r="AM20" s="112"/>
    </row>
    <row r="21" spans="1:39" ht="12.75" customHeight="1">
      <c r="A21" s="128" t="s">
        <v>295</v>
      </c>
      <c r="B21" s="129" t="s">
        <v>437</v>
      </c>
      <c r="C21" s="129"/>
      <c r="D21" s="129"/>
      <c r="E21" s="131"/>
      <c r="F21" s="132"/>
      <c r="G21" s="131">
        <v>5</v>
      </c>
      <c r="H21" s="131">
        <v>1000</v>
      </c>
      <c r="I21" s="136">
        <v>1.8</v>
      </c>
      <c r="J21" s="142">
        <f>7/24</f>
        <v>0.29166666666666669</v>
      </c>
      <c r="K21" s="130" t="s">
        <v>458</v>
      </c>
      <c r="L21" s="132">
        <v>0</v>
      </c>
      <c r="M21" s="135"/>
      <c r="N2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1" s="108">
        <f>IF(Operations[[#This Row],[Calc List Price]]=0,0,IF(Operations[[#This Row],[Units per Hour]]*Operations[[#This Row],[Annual Use]]=0,0,(Operations[[#This Row],[Calc Beg Yr. Value]]-Operations[[#This Row],[Calc End Yr. Value]])/(Operations[[#This Row],[Annual Use]])))</f>
        <v>0</v>
      </c>
      <c r="S21" s="109">
        <f>IF(Operations[[#This Row],[Annual Use]]=0,0,Operations[[#This Row],[Calc Beg Yr. Value]]*'General Variables'!$B$7/Operations[[#This Row],[Annual Use]])</f>
        <v>0</v>
      </c>
      <c r="T21" s="109">
        <f>IF(Operations[[#This Row],[Annual Use]]=0,0,Operations[[#This Row],[Calc Beg Yr. Value]]*'General Variables'!$B$8/Operations[[#This Row],[Annual Use]])</f>
        <v>0</v>
      </c>
      <c r="U21" s="109">
        <f>SUM(Operations[[#This Row],[Depreciation per Unit]:[Opportunity Cost per Unit]])</f>
        <v>0</v>
      </c>
      <c r="W21" s="2" t="s">
        <v>177</v>
      </c>
      <c r="X21" s="2" t="s">
        <v>126</v>
      </c>
      <c r="Y21" s="3" t="s">
        <v>158</v>
      </c>
      <c r="Z21" s="3" t="s">
        <v>136</v>
      </c>
      <c r="AA21" s="4">
        <v>2500</v>
      </c>
    </row>
    <row r="22" spans="1:39" ht="12.75" customHeight="1">
      <c r="A22" s="128" t="s">
        <v>296</v>
      </c>
      <c r="B22" s="129" t="s">
        <v>79</v>
      </c>
      <c r="C22" s="130" t="s">
        <v>346</v>
      </c>
      <c r="D22" s="130" t="s">
        <v>337</v>
      </c>
      <c r="E22" s="137">
        <v>21700</v>
      </c>
      <c r="F22" s="132"/>
      <c r="G22" s="131">
        <v>20</v>
      </c>
      <c r="H22" s="131">
        <v>300</v>
      </c>
      <c r="I22" s="136">
        <v>20</v>
      </c>
      <c r="J22" s="134">
        <v>1.1000000000000001</v>
      </c>
      <c r="K22" s="130" t="s">
        <v>471</v>
      </c>
      <c r="L22" s="132">
        <v>2.1070422535211271</v>
      </c>
      <c r="M22" s="135"/>
      <c r="N2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21700</v>
      </c>
      <c r="O2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0.16111441832167459</v>
      </c>
      <c r="P2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3200.3889911258079</v>
      </c>
      <c r="Q22"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3035.075660320053</v>
      </c>
      <c r="R22" s="108">
        <f>IF(Operations[[#This Row],[Calc List Price]]=0,0,IF(Operations[[#This Row],[Units per Hour]]*Operations[[#This Row],[Annual Use]]=0,0,(Operations[[#This Row],[Calc Beg Yr. Value]]-Operations[[#This Row],[Calc End Yr. Value]])/(Operations[[#This Row],[Annual Use]])))</f>
        <v>0.55104443601918318</v>
      </c>
      <c r="S22" s="109">
        <f>IF(Operations[[#This Row],[Annual Use]]=0,0,Operations[[#This Row],[Calc Beg Yr. Value]]*'General Variables'!$B$7/Operations[[#This Row],[Annual Use]])</f>
        <v>0.21335926607505384</v>
      </c>
      <c r="T22" s="109">
        <f>IF(Operations[[#This Row],[Annual Use]]=0,0,Operations[[#This Row],[Calc Beg Yr. Value]]*'General Variables'!$B$8/Operations[[#This Row],[Annual Use]])</f>
        <v>0.42671853215010769</v>
      </c>
      <c r="U22" s="109">
        <f>SUM(Operations[[#This Row],[Depreciation per Unit]:[Opportunity Cost per Unit]])</f>
        <v>1.1911222342443448</v>
      </c>
      <c r="W22" s="2" t="s">
        <v>178</v>
      </c>
      <c r="X22" s="2" t="s">
        <v>126</v>
      </c>
      <c r="Y22" s="3" t="s">
        <v>179</v>
      </c>
      <c r="Z22" s="3" t="s">
        <v>122</v>
      </c>
      <c r="AA22" s="5">
        <v>2500</v>
      </c>
    </row>
    <row r="23" spans="1:39" ht="12.75" customHeight="1">
      <c r="A23" s="128" t="s">
        <v>297</v>
      </c>
      <c r="B23" s="129" t="s">
        <v>79</v>
      </c>
      <c r="C23" s="130" t="s">
        <v>347</v>
      </c>
      <c r="D23" s="130" t="s">
        <v>366</v>
      </c>
      <c r="E23" s="131">
        <v>26000</v>
      </c>
      <c r="F23" s="132"/>
      <c r="G23" s="131">
        <v>10</v>
      </c>
      <c r="H23" s="131">
        <v>1000</v>
      </c>
      <c r="I23" s="138">
        <v>7.3333333333333339</v>
      </c>
      <c r="J23" s="134">
        <v>1.1000000000000001</v>
      </c>
      <c r="K23" s="130" t="s">
        <v>471</v>
      </c>
      <c r="L23" s="132">
        <v>4.9866666666666672</v>
      </c>
      <c r="M23" s="135"/>
      <c r="N2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26000</v>
      </c>
      <c r="O2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3.5361926154173662</v>
      </c>
      <c r="P2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10528.220998545277</v>
      </c>
      <c r="Q2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10133.618777831236</v>
      </c>
      <c r="R23" s="108">
        <f>IF(Operations[[#This Row],[Calc List Price]]=0,0,IF(Operations[[#This Row],[Units per Hour]]*Operations[[#This Row],[Annual Use]]=0,0,(Operations[[#This Row],[Calc Beg Yr. Value]]-Operations[[#This Row],[Calc End Yr. Value]])/(Operations[[#This Row],[Annual Use]])))</f>
        <v>0.39460222071404133</v>
      </c>
      <c r="S23" s="109">
        <f>IF(Operations[[#This Row],[Annual Use]]=0,0,Operations[[#This Row],[Calc Beg Yr. Value]]*'General Variables'!$B$7/Operations[[#This Row],[Annual Use]])</f>
        <v>0.21056441997090555</v>
      </c>
      <c r="T23" s="109">
        <f>IF(Operations[[#This Row],[Annual Use]]=0,0,Operations[[#This Row],[Calc Beg Yr. Value]]*'General Variables'!$B$8/Operations[[#This Row],[Annual Use]])</f>
        <v>0.42112883994181111</v>
      </c>
      <c r="U23" s="109">
        <f>SUM(Operations[[#This Row],[Depreciation per Unit]:[Opportunity Cost per Unit]])</f>
        <v>1.0262954806267579</v>
      </c>
      <c r="W23" s="2" t="s">
        <v>180</v>
      </c>
      <c r="X23" s="2" t="s">
        <v>141</v>
      </c>
      <c r="Y23" s="3" t="s">
        <v>179</v>
      </c>
      <c r="Z23" s="3" t="s">
        <v>165</v>
      </c>
      <c r="AA23" s="5">
        <v>2000</v>
      </c>
    </row>
    <row r="24" spans="1:39" ht="12.75" customHeight="1">
      <c r="A24" s="128" t="s">
        <v>298</v>
      </c>
      <c r="B24" s="129" t="s">
        <v>430</v>
      </c>
      <c r="C24" s="129"/>
      <c r="D24" s="129"/>
      <c r="E24" s="131"/>
      <c r="F24" s="132"/>
      <c r="G24" s="131"/>
      <c r="H24" s="131"/>
      <c r="I24" s="136" t="s">
        <v>392</v>
      </c>
      <c r="J24" s="134"/>
      <c r="K24" s="130"/>
      <c r="L24" s="132" t="s">
        <v>392</v>
      </c>
      <c r="M24" s="135"/>
      <c r="N2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4"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4" s="108">
        <f>IF(Operations[[#This Row],[Calc List Price]]=0,0,IF(Operations[[#This Row],[Units per Hour]]*Operations[[#This Row],[Annual Use]]=0,0,(Operations[[#This Row],[Calc Beg Yr. Value]]-Operations[[#This Row],[Calc End Yr. Value]])/(Operations[[#This Row],[Annual Use]])))</f>
        <v>0</v>
      </c>
      <c r="S24" s="109">
        <f>IF(Operations[[#This Row],[Annual Use]]=0,0,Operations[[#This Row],[Calc Beg Yr. Value]]*'General Variables'!$B$7/Operations[[#This Row],[Annual Use]])</f>
        <v>0</v>
      </c>
      <c r="T24" s="109">
        <f>IF(Operations[[#This Row],[Annual Use]]=0,0,Operations[[#This Row],[Calc Beg Yr. Value]]*'General Variables'!$B$8/Operations[[#This Row],[Annual Use]])</f>
        <v>0</v>
      </c>
      <c r="U24" s="109">
        <f>SUM(Operations[[#This Row],[Depreciation per Unit]:[Opportunity Cost per Unit]])</f>
        <v>0</v>
      </c>
      <c r="W24" s="2" t="s">
        <v>181</v>
      </c>
      <c r="X24" s="2" t="s">
        <v>141</v>
      </c>
      <c r="Y24" s="3" t="s">
        <v>162</v>
      </c>
      <c r="Z24" s="3" t="s">
        <v>147</v>
      </c>
      <c r="AA24" s="5">
        <v>1500</v>
      </c>
    </row>
    <row r="25" spans="1:39" ht="12.75" customHeight="1">
      <c r="A25" s="128" t="s">
        <v>299</v>
      </c>
      <c r="B25" s="129" t="s">
        <v>79</v>
      </c>
      <c r="C25" s="130" t="s">
        <v>348</v>
      </c>
      <c r="D25" s="130" t="s">
        <v>364</v>
      </c>
      <c r="E25" s="131">
        <v>30183</v>
      </c>
      <c r="F25" s="132"/>
      <c r="G25" s="131">
        <v>5</v>
      </c>
      <c r="H25" s="131">
        <v>1000</v>
      </c>
      <c r="I25" s="136">
        <v>21.290322580645164</v>
      </c>
      <c r="J25" s="134">
        <v>1.1000000000000001</v>
      </c>
      <c r="K25" s="130" t="s">
        <v>470</v>
      </c>
      <c r="L25" s="132">
        <v>8.6225806451612925</v>
      </c>
      <c r="M25" s="135"/>
      <c r="N2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5"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5" s="108">
        <f>IF(Operations[[#This Row],[Calc List Price]]=0,0,IF(Operations[[#This Row],[Units per Hour]]*Operations[[#This Row],[Annual Use]]=0,0,(Operations[[#This Row],[Calc Beg Yr. Value]]-Operations[[#This Row],[Calc End Yr. Value]])/(Operations[[#This Row],[Annual Use]])))</f>
        <v>0.8974895259263358</v>
      </c>
      <c r="S25" s="109">
        <f>IF(Operations[[#This Row],[Annual Use]]=0,0,Operations[[#This Row],[Calc Beg Yr. Value]]*'General Variables'!$B$7/Operations[[#This Row],[Annual Use]])</f>
        <v>0.25116297808577948</v>
      </c>
      <c r="T25" s="109">
        <f>IF(Operations[[#This Row],[Annual Use]]=0,0,Operations[[#This Row],[Calc Beg Yr. Value]]*'General Variables'!$B$8/Operations[[#This Row],[Annual Use]])</f>
        <v>0.50232595617155895</v>
      </c>
      <c r="U25" s="109">
        <f>SUM(Operations[[#This Row],[Depreciation per Unit]:[Opportunity Cost per Unit]])</f>
        <v>1.6509784601836743</v>
      </c>
      <c r="W25" s="2" t="s">
        <v>182</v>
      </c>
      <c r="X25" s="2" t="s">
        <v>141</v>
      </c>
      <c r="Y25" s="3" t="s">
        <v>183</v>
      </c>
      <c r="Z25" s="3" t="s">
        <v>128</v>
      </c>
      <c r="AA25" s="4">
        <v>2000</v>
      </c>
    </row>
    <row r="26" spans="1:39" ht="12.75" customHeight="1">
      <c r="A26" s="128" t="s">
        <v>300</v>
      </c>
      <c r="B26" s="129" t="s">
        <v>79</v>
      </c>
      <c r="C26" s="130" t="s">
        <v>344</v>
      </c>
      <c r="D26" s="130" t="s">
        <v>364</v>
      </c>
      <c r="E26" s="131">
        <v>30183</v>
      </c>
      <c r="F26" s="132"/>
      <c r="G26" s="131">
        <v>5</v>
      </c>
      <c r="H26" s="131">
        <v>2000</v>
      </c>
      <c r="I26" s="136">
        <v>21.290322580645164</v>
      </c>
      <c r="J26" s="134">
        <v>1.1000000000000001</v>
      </c>
      <c r="K26" s="130" t="s">
        <v>470</v>
      </c>
      <c r="L26" s="132">
        <v>8.1967741935483875</v>
      </c>
      <c r="M26" s="135"/>
      <c r="N2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2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6"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6" s="108">
        <f>IF(Operations[[#This Row],[Calc List Price]]=0,0,IF(Operations[[#This Row],[Units per Hour]]*Operations[[#This Row],[Annual Use]]=0,0,(Operations[[#This Row],[Calc Beg Yr. Value]]-Operations[[#This Row],[Calc End Yr. Value]])/(Operations[[#This Row],[Annual Use]])))</f>
        <v>0.4487447629631679</v>
      </c>
      <c r="S26" s="109">
        <f>IF(Operations[[#This Row],[Annual Use]]=0,0,Operations[[#This Row],[Calc Beg Yr. Value]]*'General Variables'!$B$7/Operations[[#This Row],[Annual Use]])</f>
        <v>0.12558148904288974</v>
      </c>
      <c r="T26" s="109">
        <f>IF(Operations[[#This Row],[Annual Use]]=0,0,Operations[[#This Row],[Calc Beg Yr. Value]]*'General Variables'!$B$8/Operations[[#This Row],[Annual Use]])</f>
        <v>0.25116297808577948</v>
      </c>
      <c r="U26" s="109">
        <f>SUM(Operations[[#This Row],[Depreciation per Unit]:[Opportunity Cost per Unit]])</f>
        <v>0.82548923009183717</v>
      </c>
      <c r="W26" s="2" t="s">
        <v>184</v>
      </c>
      <c r="X26" s="2" t="s">
        <v>126</v>
      </c>
      <c r="Y26" s="3" t="s">
        <v>185</v>
      </c>
      <c r="Z26" s="3" t="s">
        <v>139</v>
      </c>
      <c r="AA26" s="5">
        <v>2500</v>
      </c>
    </row>
    <row r="27" spans="1:39" ht="12.75" customHeight="1">
      <c r="A27" s="128" t="s">
        <v>37</v>
      </c>
      <c r="B27" s="129" t="s">
        <v>79</v>
      </c>
      <c r="C27" s="129" t="s">
        <v>347</v>
      </c>
      <c r="D27" s="129" t="s">
        <v>366</v>
      </c>
      <c r="E27" s="131">
        <v>73000</v>
      </c>
      <c r="F27" s="132"/>
      <c r="G27" s="131">
        <v>15</v>
      </c>
      <c r="H27" s="131">
        <v>160</v>
      </c>
      <c r="I27" s="136">
        <v>4.907063197026023</v>
      </c>
      <c r="J27" s="134">
        <v>1.1000000000000001</v>
      </c>
      <c r="K27" s="130" t="s">
        <v>471</v>
      </c>
      <c r="L27" s="132">
        <v>4.2936802973977706</v>
      </c>
      <c r="M27" s="135"/>
      <c r="N2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4.7192371331146994</v>
      </c>
      <c r="P2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24634.090171943317</v>
      </c>
      <c r="Q27"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23800.992999999999</v>
      </c>
      <c r="R27" s="108">
        <f>IF(Operations[[#This Row],[Calc List Price]]=0,0,IF(Operations[[#This Row],[Units per Hour]]*Operations[[#This Row],[Annual Use]]=0,0,(Operations[[#This Row],[Calc Beg Yr. Value]]-Operations[[#This Row],[Calc End Yr. Value]])/(Operations[[#This Row],[Annual Use]])))</f>
        <v>5.206857324645739</v>
      </c>
      <c r="S27" s="109">
        <f>IF(Operations[[#This Row],[Annual Use]]=0,0,Operations[[#This Row],[Calc Beg Yr. Value]]*'General Variables'!$B$7/Operations[[#This Row],[Annual Use]])</f>
        <v>3.0792612714929146</v>
      </c>
      <c r="T27" s="109">
        <f>IF(Operations[[#This Row],[Annual Use]]=0,0,Operations[[#This Row],[Calc Beg Yr. Value]]*'General Variables'!$B$8/Operations[[#This Row],[Annual Use]])</f>
        <v>6.1585225429858292</v>
      </c>
      <c r="U27" s="109">
        <f>SUM(Operations[[#This Row],[Depreciation per Unit]:[Opportunity Cost per Unit]])</f>
        <v>14.444641139124482</v>
      </c>
      <c r="W27" s="2" t="s">
        <v>186</v>
      </c>
      <c r="X27" s="2" t="s">
        <v>126</v>
      </c>
      <c r="Y27" s="3" t="s">
        <v>155</v>
      </c>
      <c r="Z27" s="3" t="s">
        <v>139</v>
      </c>
      <c r="AA27" s="5">
        <v>2500</v>
      </c>
    </row>
    <row r="28" spans="1:39" ht="12.75" customHeight="1">
      <c r="A28" s="128" t="s">
        <v>301</v>
      </c>
      <c r="B28" s="129" t="s">
        <v>79</v>
      </c>
      <c r="C28" s="130" t="s">
        <v>349</v>
      </c>
      <c r="D28" s="130" t="s">
        <v>364</v>
      </c>
      <c r="E28" s="131">
        <v>38500</v>
      </c>
      <c r="F28" s="132"/>
      <c r="G28" s="131">
        <v>5</v>
      </c>
      <c r="H28" s="131">
        <v>1000</v>
      </c>
      <c r="I28" s="136">
        <v>18.591549295774648</v>
      </c>
      <c r="J28" s="134">
        <v>1.1000000000000001</v>
      </c>
      <c r="K28" s="130" t="s">
        <v>471</v>
      </c>
      <c r="L28" s="132">
        <v>2.0450704225352112</v>
      </c>
      <c r="M28" s="135"/>
      <c r="N2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38500</v>
      </c>
      <c r="O2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0.48074187150158099</v>
      </c>
      <c r="P2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16018.577769443908</v>
      </c>
      <c r="Q2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14873.782793856195</v>
      </c>
      <c r="R28" s="108">
        <f>IF(Operations[[#This Row],[Calc List Price]]=0,0,IF(Operations[[#This Row],[Units per Hour]]*Operations[[#This Row],[Annual Use]]=0,0,(Operations[[#This Row],[Calc Beg Yr. Value]]-Operations[[#This Row],[Calc End Yr. Value]])/(Operations[[#This Row],[Annual Use]])))</f>
        <v>1.1447949755877125</v>
      </c>
      <c r="S28" s="109">
        <f>IF(Operations[[#This Row],[Annual Use]]=0,0,Operations[[#This Row],[Calc Beg Yr. Value]]*'General Variables'!$B$7/Operations[[#This Row],[Annual Use]])</f>
        <v>0.32037155538887818</v>
      </c>
      <c r="T28" s="109">
        <f>IF(Operations[[#This Row],[Annual Use]]=0,0,Operations[[#This Row],[Calc Beg Yr. Value]]*'General Variables'!$B$8/Operations[[#This Row],[Annual Use]])</f>
        <v>0.64074311077775636</v>
      </c>
      <c r="U28" s="109">
        <f>SUM(Operations[[#This Row],[Depreciation per Unit]:[Opportunity Cost per Unit]])</f>
        <v>2.105909641754347</v>
      </c>
      <c r="W28" s="2" t="s">
        <v>187</v>
      </c>
      <c r="X28" s="2" t="s">
        <v>141</v>
      </c>
      <c r="Y28" s="3" t="s">
        <v>179</v>
      </c>
      <c r="Z28" s="3" t="s">
        <v>165</v>
      </c>
      <c r="AA28" s="5">
        <v>2000</v>
      </c>
    </row>
    <row r="29" spans="1:39" ht="12.75" customHeight="1">
      <c r="A29" s="128" t="s">
        <v>302</v>
      </c>
      <c r="B29" s="129" t="s">
        <v>79</v>
      </c>
      <c r="C29" s="130" t="s">
        <v>350</v>
      </c>
      <c r="D29" s="130" t="s">
        <v>364</v>
      </c>
      <c r="E29" s="131"/>
      <c r="F29" s="132">
        <v>4500</v>
      </c>
      <c r="G29" s="131">
        <v>5</v>
      </c>
      <c r="H29" s="131">
        <v>1000</v>
      </c>
      <c r="I29" s="136">
        <v>6.5024630541871931</v>
      </c>
      <c r="J29" s="134">
        <v>1.1000000000000001</v>
      </c>
      <c r="K29" s="130" t="s">
        <v>471</v>
      </c>
      <c r="L29" s="132">
        <v>5.332019704433498</v>
      </c>
      <c r="M29" s="135"/>
      <c r="N2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2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2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2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29" s="108">
        <f>IF(Operations[[#This Row],[Calc List Price]]=0,0,IF(Operations[[#This Row],[Units per Hour]]*Operations[[#This Row],[Annual Use]]=0,0,(Operations[[#This Row],[Calc Beg Yr. Value]]-Operations[[#This Row],[Calc End Yr. Value]])/(Operations[[#This Row],[Annual Use]])))</f>
        <v>0.32160017351674924</v>
      </c>
      <c r="S29" s="109">
        <f>IF(Operations[[#This Row],[Annual Use]]=0,0,Operations[[#This Row],[Calc Beg Yr. Value]]*'General Variables'!$B$7/Operations[[#This Row],[Annual Use]])</f>
        <v>0.09</v>
      </c>
      <c r="T29" s="109">
        <f>IF(Operations[[#This Row],[Annual Use]]=0,0,Operations[[#This Row],[Calc Beg Yr. Value]]*'General Variables'!$B$8/Operations[[#This Row],[Annual Use]])</f>
        <v>0.18</v>
      </c>
      <c r="U29" s="109">
        <f>SUM(Operations[[#This Row],[Depreciation per Unit]:[Opportunity Cost per Unit]])</f>
        <v>0.59160017351674932</v>
      </c>
      <c r="W29" s="2" t="s">
        <v>188</v>
      </c>
      <c r="X29" s="2" t="s">
        <v>141</v>
      </c>
      <c r="Y29" s="3" t="s">
        <v>132</v>
      </c>
      <c r="Z29" s="3" t="s">
        <v>139</v>
      </c>
      <c r="AA29" s="5">
        <v>2000</v>
      </c>
    </row>
    <row r="30" spans="1:39" ht="12.75" customHeight="1">
      <c r="A30" s="128" t="s">
        <v>303</v>
      </c>
      <c r="B30" s="129" t="s">
        <v>79</v>
      </c>
      <c r="C30" s="130" t="s">
        <v>351</v>
      </c>
      <c r="D30" s="130" t="s">
        <v>364</v>
      </c>
      <c r="E30" s="131">
        <v>22000</v>
      </c>
      <c r="F30" s="132">
        <v>3000</v>
      </c>
      <c r="G30" s="131">
        <v>5</v>
      </c>
      <c r="H30" s="131">
        <v>3000</v>
      </c>
      <c r="I30" s="136">
        <v>14.666666666666668</v>
      </c>
      <c r="J30" s="134">
        <v>1.1000000000000001</v>
      </c>
      <c r="K30" s="130" t="s">
        <v>470</v>
      </c>
      <c r="L30" s="132">
        <v>3.666666666666667</v>
      </c>
      <c r="M30" s="135"/>
      <c r="N3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0.50613258691199692</v>
      </c>
      <c r="P3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08">
        <f>IF(Operations[[#This Row],[Calc List Price]]=0,0,IF(Operations[[#This Row],[Units per Hour]]*Operations[[#This Row],[Annual Use]]=0,0,(Operations[[#This Row],[Calc Beg Yr. Value]]-Operations[[#This Row],[Calc End Yr. Value]])/(Operations[[#This Row],[Annual Use]])))</f>
        <v>0.21805618582623112</v>
      </c>
      <c r="S30" s="109">
        <f>IF(Operations[[#This Row],[Annual Use]]=0,0,Operations[[#This Row],[Calc Beg Yr. Value]]*'General Variables'!$B$7/Operations[[#This Row],[Annual Use]])</f>
        <v>6.1023153407405377E-2</v>
      </c>
      <c r="T30" s="109">
        <f>IF(Operations[[#This Row],[Annual Use]]=0,0,Operations[[#This Row],[Calc Beg Yr. Value]]*'General Variables'!$B$8/Operations[[#This Row],[Annual Use]])</f>
        <v>0.12204630681481075</v>
      </c>
      <c r="U30" s="109">
        <f>SUM(Operations[[#This Row],[Depreciation per Unit]:[Opportunity Cost per Unit]])</f>
        <v>0.40112564604844725</v>
      </c>
      <c r="W30" s="2" t="s">
        <v>189</v>
      </c>
      <c r="X30" s="2" t="s">
        <v>141</v>
      </c>
      <c r="Y30" s="3" t="s">
        <v>190</v>
      </c>
      <c r="Z30" s="3" t="s">
        <v>122</v>
      </c>
      <c r="AA30" s="5">
        <v>1500</v>
      </c>
    </row>
    <row r="31" spans="1:39" ht="12.75" customHeight="1">
      <c r="A31" s="128" t="s">
        <v>304</v>
      </c>
      <c r="B31" s="129" t="s">
        <v>72</v>
      </c>
      <c r="C31" s="130" t="s">
        <v>352</v>
      </c>
      <c r="D31" s="130" t="s">
        <v>367</v>
      </c>
      <c r="E31" s="131">
        <v>21500</v>
      </c>
      <c r="F31" s="132"/>
      <c r="G31" s="131">
        <v>5</v>
      </c>
      <c r="H31" s="131">
        <f>250*5</f>
        <v>1250</v>
      </c>
      <c r="I31" s="136">
        <v>13.321100917431195</v>
      </c>
      <c r="J31" s="134">
        <v>1.1000000000000001</v>
      </c>
      <c r="K31" s="130" t="s">
        <v>471</v>
      </c>
      <c r="L31" s="132">
        <v>2.8761467889908259</v>
      </c>
      <c r="M31" s="135"/>
      <c r="N3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21500</v>
      </c>
      <c r="O3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0.73574876518907573</v>
      </c>
      <c r="P3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8429.5642712080862</v>
      </c>
      <c r="Q31"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7859.1748721229433</v>
      </c>
      <c r="R31" s="108">
        <f>IF(Operations[[#This Row],[Calc List Price]]=0,0,IF(Operations[[#This Row],[Units per Hour]]*Operations[[#This Row],[Annual Use]]=0,0,(Operations[[#This Row],[Calc Beg Yr. Value]]-Operations[[#This Row],[Calc End Yr. Value]])/(Operations[[#This Row],[Annual Use]])))</f>
        <v>0.45631151926811436</v>
      </c>
      <c r="S31" s="109">
        <f>IF(Operations[[#This Row],[Annual Use]]=0,0,Operations[[#This Row],[Calc Beg Yr. Value]]*'General Variables'!$B$7/Operations[[#This Row],[Annual Use]])</f>
        <v>0.13487302833932938</v>
      </c>
      <c r="T31" s="109">
        <f>IF(Operations[[#This Row],[Annual Use]]=0,0,Operations[[#This Row],[Calc Beg Yr. Value]]*'General Variables'!$B$8/Operations[[#This Row],[Annual Use]])</f>
        <v>0.26974605667865875</v>
      </c>
      <c r="U31" s="109">
        <f>SUM(Operations[[#This Row],[Depreciation per Unit]:[Opportunity Cost per Unit]])</f>
        <v>0.86093060428610246</v>
      </c>
      <c r="W31" s="2" t="s">
        <v>191</v>
      </c>
      <c r="X31" s="2" t="s">
        <v>134</v>
      </c>
      <c r="Y31" s="3" t="s">
        <v>135</v>
      </c>
      <c r="Z31" s="3" t="s">
        <v>136</v>
      </c>
      <c r="AA31" s="4">
        <v>2000</v>
      </c>
    </row>
    <row r="32" spans="1:39" ht="12.75" customHeight="1">
      <c r="A32" s="128" t="s">
        <v>305</v>
      </c>
      <c r="B32" s="129" t="s">
        <v>72</v>
      </c>
      <c r="C32" s="130" t="s">
        <v>353</v>
      </c>
      <c r="D32" s="130" t="s">
        <v>367</v>
      </c>
      <c r="E32" s="131">
        <v>115800</v>
      </c>
      <c r="F32" s="132"/>
      <c r="G32" s="131">
        <v>5</v>
      </c>
      <c r="H32" s="131">
        <f>500*5</f>
        <v>2500</v>
      </c>
      <c r="I32" s="136">
        <v>16.073800738007382</v>
      </c>
      <c r="J32" s="134">
        <v>1.1000000000000001</v>
      </c>
      <c r="K32" s="130" t="s">
        <v>470</v>
      </c>
      <c r="L32" s="132">
        <v>6.1859778597785988</v>
      </c>
      <c r="M32" s="135"/>
      <c r="N3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115800</v>
      </c>
      <c r="O3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1.1442316360770926</v>
      </c>
      <c r="P3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45402.025237483555</v>
      </c>
      <c r="Q32"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42329.88140427148</v>
      </c>
      <c r="R32" s="108">
        <f>IF(Operations[[#This Row],[Calc List Price]]=0,0,IF(Operations[[#This Row],[Units per Hour]]*Operations[[#This Row],[Annual Use]]=0,0,(Operations[[#This Row],[Calc Beg Yr. Value]]-Operations[[#This Row],[Calc End Yr. Value]])/(Operations[[#This Row],[Annual Use]])))</f>
        <v>1.2288575332848297</v>
      </c>
      <c r="S32" s="109">
        <f>IF(Operations[[#This Row],[Annual Use]]=0,0,Operations[[#This Row],[Calc Beg Yr. Value]]*'General Variables'!$B$7/Operations[[#This Row],[Annual Use]])</f>
        <v>0.36321620189986842</v>
      </c>
      <c r="T32" s="109">
        <f>IF(Operations[[#This Row],[Annual Use]]=0,0,Operations[[#This Row],[Calc Beg Yr. Value]]*'General Variables'!$B$8/Operations[[#This Row],[Annual Use]])</f>
        <v>0.72643240379973684</v>
      </c>
      <c r="U32" s="109">
        <f>SUM(Operations[[#This Row],[Depreciation per Unit]:[Opportunity Cost per Unit]])</f>
        <v>2.3185061389844348</v>
      </c>
      <c r="W32" s="2" t="s">
        <v>192</v>
      </c>
      <c r="X32" s="2" t="s">
        <v>134</v>
      </c>
      <c r="Y32" s="3" t="s">
        <v>193</v>
      </c>
      <c r="Z32" s="3" t="s">
        <v>165</v>
      </c>
      <c r="AA32" s="5">
        <v>2500</v>
      </c>
    </row>
    <row r="33" spans="1:27" ht="12.75" customHeight="1">
      <c r="A33" s="128" t="s">
        <v>306</v>
      </c>
      <c r="B33" s="129" t="s">
        <v>79</v>
      </c>
      <c r="C33" s="130" t="s">
        <v>354</v>
      </c>
      <c r="D33" s="130" t="s">
        <v>367</v>
      </c>
      <c r="E33" s="141">
        <v>90000</v>
      </c>
      <c r="F33" s="143"/>
      <c r="G33" s="131">
        <v>5</v>
      </c>
      <c r="H33" s="131">
        <v>500</v>
      </c>
      <c r="I33" s="136">
        <v>5.1162790697674421</v>
      </c>
      <c r="J33" s="134">
        <v>1.1000000000000001</v>
      </c>
      <c r="K33" s="130" t="s">
        <v>470</v>
      </c>
      <c r="L33" s="132">
        <v>6.1906976744186046</v>
      </c>
      <c r="M33" s="135"/>
      <c r="N3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3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11.196217047677839</v>
      </c>
      <c r="P3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35286.548112033852</v>
      </c>
      <c r="Q3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32898.871557723949</v>
      </c>
      <c r="R33" s="108">
        <f>IF(Operations[[#This Row],[Calc List Price]]=0,0,IF(Operations[[#This Row],[Units per Hour]]*Operations[[#This Row],[Annual Use]]=0,0,(Operations[[#This Row],[Calc Beg Yr. Value]]-Operations[[#This Row],[Calc End Yr. Value]])/(Operations[[#This Row],[Annual Use]])))</f>
        <v>4.7753531086198056</v>
      </c>
      <c r="S33" s="109">
        <f>IF(Operations[[#This Row],[Annual Use]]=0,0,Operations[[#This Row],[Calc Beg Yr. Value]]*'General Variables'!$B$7/Operations[[#This Row],[Annual Use]])</f>
        <v>1.4114619244813542</v>
      </c>
      <c r="T33" s="109">
        <f>IF(Operations[[#This Row],[Annual Use]]=0,0,Operations[[#This Row],[Calc Beg Yr. Value]]*'General Variables'!$B$8/Operations[[#This Row],[Annual Use]])</f>
        <v>2.8229238489627084</v>
      </c>
      <c r="U33" s="109">
        <f>SUM(Operations[[#This Row],[Depreciation per Unit]:[Opportunity Cost per Unit]])</f>
        <v>9.0097388820638677</v>
      </c>
      <c r="W33" s="2" t="s">
        <v>194</v>
      </c>
      <c r="X33" s="2" t="s">
        <v>134</v>
      </c>
      <c r="Y33" s="3" t="s">
        <v>138</v>
      </c>
      <c r="Z33" s="3" t="s">
        <v>139</v>
      </c>
      <c r="AA33" s="5">
        <v>1200</v>
      </c>
    </row>
    <row r="34" spans="1:27" ht="12.75" customHeight="1">
      <c r="A34" s="128" t="s">
        <v>307</v>
      </c>
      <c r="B34" s="129" t="s">
        <v>72</v>
      </c>
      <c r="C34" s="130"/>
      <c r="D34" s="130" t="s">
        <v>337</v>
      </c>
      <c r="E34" s="131">
        <v>12725</v>
      </c>
      <c r="F34" s="132"/>
      <c r="G34" s="131">
        <v>5</v>
      </c>
      <c r="H34" s="131">
        <v>3000</v>
      </c>
      <c r="I34" s="136">
        <v>9</v>
      </c>
      <c r="J34" s="134">
        <v>1.1000000000000001</v>
      </c>
      <c r="K34" s="130" t="s">
        <v>470</v>
      </c>
      <c r="L34" s="132">
        <v>3.8511066398390348</v>
      </c>
      <c r="M34" s="135"/>
      <c r="N3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4"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4" s="108">
        <f>IF(Operations[[#This Row],[Calc List Price]]=0,0,IF(Operations[[#This Row],[Units per Hour]]*Operations[[#This Row],[Annual Use]]=0,0,(Operations[[#This Row],[Calc Beg Yr. Value]]-Operations[[#This Row],[Calc End Yr. Value]])/(Operations[[#This Row],[Annual Use]])))</f>
        <v>9.5198372536893047E-2</v>
      </c>
      <c r="S34" s="109">
        <f>IF(Operations[[#This Row],[Annual Use]]=0,0,Operations[[#This Row],[Calc Beg Yr. Value]]*'General Variables'!$B$7/Operations[[#This Row],[Annual Use]])</f>
        <v>2.928253092466605E-2</v>
      </c>
      <c r="T34" s="109">
        <f>IF(Operations[[#This Row],[Annual Use]]=0,0,Operations[[#This Row],[Calc Beg Yr. Value]]*'General Variables'!$B$8/Operations[[#This Row],[Annual Use]])</f>
        <v>5.8565061849332099E-2</v>
      </c>
      <c r="U34" s="109">
        <f>SUM(Operations[[#This Row],[Depreciation per Unit]:[Opportunity Cost per Unit]])</f>
        <v>0.18304596531089121</v>
      </c>
      <c r="W34" s="2" t="s">
        <v>195</v>
      </c>
      <c r="X34" s="2" t="s">
        <v>126</v>
      </c>
      <c r="Y34" s="3" t="s">
        <v>196</v>
      </c>
      <c r="Z34" s="3" t="s">
        <v>165</v>
      </c>
      <c r="AA34" s="5">
        <v>1500</v>
      </c>
    </row>
    <row r="35" spans="1:27" ht="12.75" customHeight="1">
      <c r="A35" s="128" t="s">
        <v>308</v>
      </c>
      <c r="B35" s="129" t="s">
        <v>72</v>
      </c>
      <c r="C35" s="130"/>
      <c r="D35" s="130" t="s">
        <v>337</v>
      </c>
      <c r="E35" s="131">
        <v>12725</v>
      </c>
      <c r="F35" s="132"/>
      <c r="G35" s="131">
        <v>5</v>
      </c>
      <c r="H35" s="131">
        <v>1250</v>
      </c>
      <c r="I35" s="136">
        <v>12.110091743119266</v>
      </c>
      <c r="J35" s="134">
        <v>1.1000000000000001</v>
      </c>
      <c r="K35" s="130" t="s">
        <v>471</v>
      </c>
      <c r="L35" s="132">
        <v>3.9761467889908255</v>
      </c>
      <c r="M35" s="135"/>
      <c r="N3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5"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5" s="108">
        <f>IF(Operations[[#This Row],[Calc List Price]]=0,0,IF(Operations[[#This Row],[Units per Hour]]*Operations[[#This Row],[Annual Use]]=0,0,(Operations[[#This Row],[Calc Beg Yr. Value]]-Operations[[#This Row],[Calc End Yr. Value]])/(Operations[[#This Row],[Annual Use]])))</f>
        <v>0.22847609408854333</v>
      </c>
      <c r="S35" s="109">
        <f>IF(Operations[[#This Row],[Annual Use]]=0,0,Operations[[#This Row],[Calc Beg Yr. Value]]*'General Variables'!$B$7/Operations[[#This Row],[Annual Use]])</f>
        <v>7.0278074219198516E-2</v>
      </c>
      <c r="T35" s="109">
        <f>IF(Operations[[#This Row],[Annual Use]]=0,0,Operations[[#This Row],[Calc Beg Yr. Value]]*'General Variables'!$B$8/Operations[[#This Row],[Annual Use]])</f>
        <v>0.14055614843839703</v>
      </c>
      <c r="U35" s="109">
        <f>SUM(Operations[[#This Row],[Depreciation per Unit]:[Opportunity Cost per Unit]])</f>
        <v>0.43931031674613885</v>
      </c>
      <c r="W35" s="2" t="s">
        <v>197</v>
      </c>
      <c r="X35" s="2" t="s">
        <v>134</v>
      </c>
      <c r="Y35" s="3" t="s">
        <v>185</v>
      </c>
      <c r="Z35" s="3" t="s">
        <v>165</v>
      </c>
      <c r="AA35" s="5">
        <v>3000</v>
      </c>
    </row>
    <row r="36" spans="1:27" ht="12.75" customHeight="1">
      <c r="A36" s="128" t="s">
        <v>309</v>
      </c>
      <c r="B36" s="129" t="s">
        <v>79</v>
      </c>
      <c r="C36" s="130" t="s">
        <v>347</v>
      </c>
      <c r="D36" s="130" t="s">
        <v>366</v>
      </c>
      <c r="E36" s="137">
        <v>52000</v>
      </c>
      <c r="F36" s="132"/>
      <c r="G36" s="131">
        <v>5</v>
      </c>
      <c r="H36" s="131">
        <v>1000</v>
      </c>
      <c r="I36" s="136">
        <v>6.8393782383419701</v>
      </c>
      <c r="J36" s="134">
        <v>1.1000000000000001</v>
      </c>
      <c r="K36" s="130" t="s">
        <v>470</v>
      </c>
      <c r="L36" s="132">
        <v>6.0699481865284985</v>
      </c>
      <c r="M36" s="135"/>
      <c r="N3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52000</v>
      </c>
      <c r="O3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4.0207077989597488</v>
      </c>
      <c r="P3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26108.945628238667</v>
      </c>
      <c r="Q36"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24896.595719377347</v>
      </c>
      <c r="R36" s="108">
        <f>IF(Operations[[#This Row],[Calc List Price]]=0,0,IF(Operations[[#This Row],[Units per Hour]]*Operations[[#This Row],[Annual Use]]=0,0,(Operations[[#This Row],[Calc Beg Yr. Value]]-Operations[[#This Row],[Calc End Yr. Value]])/(Operations[[#This Row],[Annual Use]])))</f>
        <v>1.2123499088613208</v>
      </c>
      <c r="S36" s="109">
        <f>IF(Operations[[#This Row],[Annual Use]]=0,0,Operations[[#This Row],[Calc Beg Yr. Value]]*'General Variables'!$B$7/Operations[[#This Row],[Annual Use]])</f>
        <v>0.52217891256477333</v>
      </c>
      <c r="T36" s="109">
        <f>IF(Operations[[#This Row],[Annual Use]]=0,0,Operations[[#This Row],[Calc Beg Yr. Value]]*'General Variables'!$B$8/Operations[[#This Row],[Annual Use]])</f>
        <v>1.0443578251295467</v>
      </c>
      <c r="U36" s="109">
        <f>SUM(Operations[[#This Row],[Depreciation per Unit]:[Opportunity Cost per Unit]])</f>
        <v>2.778886646555641</v>
      </c>
      <c r="W36" s="2" t="s">
        <v>198</v>
      </c>
      <c r="X36" s="2" t="s">
        <v>134</v>
      </c>
      <c r="Y36" s="3" t="s">
        <v>179</v>
      </c>
      <c r="Z36" s="3" t="s">
        <v>136</v>
      </c>
      <c r="AA36" s="4">
        <v>2000</v>
      </c>
    </row>
    <row r="37" spans="1:27" ht="12.75" customHeight="1">
      <c r="A37" s="128" t="s">
        <v>310</v>
      </c>
      <c r="B37" s="129" t="s">
        <v>79</v>
      </c>
      <c r="C37" s="130" t="s">
        <v>355</v>
      </c>
      <c r="D37" s="130" t="s">
        <v>337</v>
      </c>
      <c r="E37" s="140">
        <v>25000</v>
      </c>
      <c r="F37" s="132"/>
      <c r="G37" s="131">
        <v>5</v>
      </c>
      <c r="H37" s="131">
        <v>300</v>
      </c>
      <c r="I37" s="136">
        <v>7.0212765957446823</v>
      </c>
      <c r="J37" s="134">
        <v>1.1000000000000001</v>
      </c>
      <c r="K37" s="130" t="s">
        <v>471</v>
      </c>
      <c r="L37" s="132">
        <v>6.0734042553191498</v>
      </c>
      <c r="M37" s="135"/>
      <c r="N3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3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3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37"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37" s="108">
        <f>IF(Operations[[#This Row],[Calc List Price]]=0,0,IF(Operations[[#This Row],[Units per Hour]]*Operations[[#This Row],[Annual Use]]=0,0,(Operations[[#This Row],[Calc Beg Yr. Value]]-Operations[[#This Row],[Calc End Yr. Value]])/(Operations[[#This Row],[Annual Use]])))</f>
        <v>1.8703020144772653</v>
      </c>
      <c r="S37" s="109">
        <f>IF(Operations[[#This Row],[Annual Use]]=0,0,Operations[[#This Row],[Calc Beg Yr. Value]]*'General Variables'!$B$7/Operations[[#This Row],[Annual Use]])</f>
        <v>0.57529530303862575</v>
      </c>
      <c r="T37" s="109">
        <f>IF(Operations[[#This Row],[Annual Use]]=0,0,Operations[[#This Row],[Calc Beg Yr. Value]]*'General Variables'!$B$8/Operations[[#This Row],[Annual Use]])</f>
        <v>1.1505906060772515</v>
      </c>
      <c r="U37" s="109">
        <f>SUM(Operations[[#This Row],[Depreciation per Unit]:[Opportunity Cost per Unit]])</f>
        <v>3.5961879235931429</v>
      </c>
      <c r="W37" s="115" t="s">
        <v>201</v>
      </c>
      <c r="X37" s="97" t="s">
        <v>202</v>
      </c>
      <c r="Y37" s="98">
        <v>0.02</v>
      </c>
      <c r="Z37" s="98">
        <v>1</v>
      </c>
      <c r="AA37" s="116"/>
    </row>
    <row r="38" spans="1:27" ht="12.75" customHeight="1">
      <c r="A38" s="128" t="s">
        <v>311</v>
      </c>
      <c r="B38" s="129" t="s">
        <v>437</v>
      </c>
      <c r="C38" s="130" t="s">
        <v>201</v>
      </c>
      <c r="D38" s="130" t="s">
        <v>365</v>
      </c>
      <c r="E38" s="131"/>
      <c r="F38" s="143">
        <v>7500</v>
      </c>
      <c r="G38" s="131">
        <v>10</v>
      </c>
      <c r="H38" s="137">
        <v>2600</v>
      </c>
      <c r="I38" s="136">
        <v>2.25</v>
      </c>
      <c r="J38" s="142">
        <f>5.25/24</f>
        <v>0.21875</v>
      </c>
      <c r="K38" s="130" t="s">
        <v>396</v>
      </c>
      <c r="L38" s="144">
        <v>3.03</v>
      </c>
      <c r="M38" s="135"/>
      <c r="N3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08">
        <f>IF(Operations[[#This Row],[Calc List Price]]=0,0,IF(Operations[[#This Row],[Units per Hour]]*Operations[[#This Row],[Annual Use]]=0,0,(Operations[[#This Row],[Calc Beg Yr. Value]]-Operations[[#This Row],[Calc End Yr. Value]])/(Operations[[#This Row],[Annual Use]])))</f>
        <v>0.16454960303879279</v>
      </c>
      <c r="S38" s="109">
        <f>IF(Operations[[#This Row],[Annual Use]]=0,0,Operations[[#This Row],[Calc Beg Yr. Value]]*'General Variables'!$B$7/Operations[[#This Row],[Annual Use]])</f>
        <v>5.7692307692307696E-2</v>
      </c>
      <c r="T38" s="109">
        <f>IF(Operations[[#This Row],[Annual Use]]=0,0,Operations[[#This Row],[Calc Beg Yr. Value]]*'General Variables'!$B$8/Operations[[#This Row],[Annual Use]])</f>
        <v>0.11538461538461539</v>
      </c>
      <c r="U38" s="109">
        <f>SUM(Operations[[#This Row],[Depreciation per Unit]:[Opportunity Cost per Unit]])</f>
        <v>0.33762652611571586</v>
      </c>
      <c r="W38" s="117" t="s">
        <v>203</v>
      </c>
      <c r="X38" s="118" t="s">
        <v>202</v>
      </c>
      <c r="Y38" s="119">
        <v>0.03</v>
      </c>
      <c r="Z38" s="119">
        <v>1</v>
      </c>
      <c r="AA38" s="120"/>
    </row>
    <row r="39" spans="1:27" ht="12.75" customHeight="1">
      <c r="A39" s="128" t="s">
        <v>312</v>
      </c>
      <c r="B39" s="129" t="s">
        <v>437</v>
      </c>
      <c r="C39" s="130" t="s">
        <v>207</v>
      </c>
      <c r="D39" s="130" t="s">
        <v>391</v>
      </c>
      <c r="E39" s="137">
        <v>90000</v>
      </c>
      <c r="F39" s="132"/>
      <c r="G39" s="131">
        <v>10</v>
      </c>
      <c r="H39" s="131">
        <f>130*20</f>
        <v>2600</v>
      </c>
      <c r="I39" s="136">
        <v>1.8</v>
      </c>
      <c r="J39" s="134">
        <f>1.5/24</f>
        <v>6.25E-2</v>
      </c>
      <c r="K39" s="130" t="s">
        <v>338</v>
      </c>
      <c r="L39" s="132">
        <v>3.34</v>
      </c>
      <c r="M39" s="135"/>
      <c r="N3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3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2.0750000000000028</v>
      </c>
      <c r="P3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26551.019974841482</v>
      </c>
      <c r="Q3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24917.058773508114</v>
      </c>
      <c r="R39" s="108">
        <f>IF(Operations[[#This Row],[Calc List Price]]=0,0,IF(Operations[[#This Row],[Units per Hour]]*Operations[[#This Row],[Annual Use]]=0,0,(Operations[[#This Row],[Calc Beg Yr. Value]]-Operations[[#This Row],[Calc End Yr. Value]])/(Operations[[#This Row],[Annual Use]])))</f>
        <v>0.62844661589744921</v>
      </c>
      <c r="S39" s="109">
        <f>IF(Operations[[#This Row],[Annual Use]]=0,0,Operations[[#This Row],[Calc Beg Yr. Value]]*'General Variables'!$B$7/Operations[[#This Row],[Annual Use]])</f>
        <v>0.20423861519108832</v>
      </c>
      <c r="T39" s="109">
        <f>IF(Operations[[#This Row],[Annual Use]]=0,0,Operations[[#This Row],[Calc Beg Yr. Value]]*'General Variables'!$B$8/Operations[[#This Row],[Annual Use]])</f>
        <v>0.40847723038217665</v>
      </c>
      <c r="U39" s="109">
        <f>SUM(Operations[[#This Row],[Depreciation per Unit]:[Opportunity Cost per Unit]])</f>
        <v>1.2411624614707142</v>
      </c>
      <c r="W39" s="115" t="s">
        <v>204</v>
      </c>
      <c r="X39" s="97" t="s">
        <v>202</v>
      </c>
      <c r="Y39" s="98">
        <v>0.02</v>
      </c>
      <c r="Z39" s="98">
        <v>1</v>
      </c>
      <c r="AA39" s="116"/>
    </row>
    <row r="40" spans="1:27" ht="12.75" customHeight="1">
      <c r="A40" s="128" t="s">
        <v>313</v>
      </c>
      <c r="B40" s="129" t="s">
        <v>437</v>
      </c>
      <c r="C40" s="130" t="s">
        <v>207</v>
      </c>
      <c r="D40" s="130" t="s">
        <v>391</v>
      </c>
      <c r="E40" s="137">
        <v>90000</v>
      </c>
      <c r="F40" s="132"/>
      <c r="G40" s="131">
        <v>10</v>
      </c>
      <c r="H40" s="131">
        <f>130*20</f>
        <v>2600</v>
      </c>
      <c r="I40" s="136">
        <v>1.8</v>
      </c>
      <c r="J40" s="134">
        <f>1.5/24</f>
        <v>6.25E-2</v>
      </c>
      <c r="K40" s="130" t="s">
        <v>340</v>
      </c>
      <c r="L40" s="132"/>
      <c r="M40" s="135">
        <v>47.78</v>
      </c>
      <c r="N4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4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2.0750000000000028</v>
      </c>
      <c r="P4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26551.019974841482</v>
      </c>
      <c r="Q4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24917.058773508114</v>
      </c>
      <c r="R40" s="108">
        <f>IF(Operations[[#This Row],[Calc List Price]]=0,0,IF(Operations[[#This Row],[Units per Hour]]*Operations[[#This Row],[Annual Use]]=0,0,(Operations[[#This Row],[Calc Beg Yr. Value]]-Operations[[#This Row],[Calc End Yr. Value]])/(Operations[[#This Row],[Annual Use]])))</f>
        <v>0.62844661589744921</v>
      </c>
      <c r="S40" s="109">
        <f>IF(Operations[[#This Row],[Annual Use]]=0,0,Operations[[#This Row],[Calc Beg Yr. Value]]*'General Variables'!$B$7/Operations[[#This Row],[Annual Use]])</f>
        <v>0.20423861519108832</v>
      </c>
      <c r="T40" s="109">
        <f>IF(Operations[[#This Row],[Annual Use]]=0,0,Operations[[#This Row],[Calc Beg Yr. Value]]*'General Variables'!$B$8/Operations[[#This Row],[Annual Use]])</f>
        <v>0.40847723038217665</v>
      </c>
      <c r="U40" s="109">
        <f>SUM(Operations[[#This Row],[Depreciation per Unit]:[Opportunity Cost per Unit]])</f>
        <v>1.2411624614707142</v>
      </c>
      <c r="W40" s="117" t="s">
        <v>205</v>
      </c>
      <c r="X40" s="118" t="s">
        <v>202</v>
      </c>
      <c r="Y40" s="119">
        <v>0.06</v>
      </c>
      <c r="Z40" s="119">
        <v>1</v>
      </c>
      <c r="AA40" s="120"/>
    </row>
    <row r="41" spans="1:27" ht="12.75" customHeight="1">
      <c r="A41" s="128" t="s">
        <v>314</v>
      </c>
      <c r="B41" s="129" t="s">
        <v>79</v>
      </c>
      <c r="C41" s="130" t="s">
        <v>356</v>
      </c>
      <c r="D41" s="130" t="s">
        <v>366</v>
      </c>
      <c r="E41" s="137">
        <v>40000</v>
      </c>
      <c r="F41" s="132"/>
      <c r="G41" s="131">
        <v>5</v>
      </c>
      <c r="H41" s="131">
        <v>1000</v>
      </c>
      <c r="I41" s="136">
        <v>6</v>
      </c>
      <c r="J41" s="134">
        <v>1.1000000000000001</v>
      </c>
      <c r="K41" s="130" t="s">
        <v>471</v>
      </c>
      <c r="L41" s="132">
        <v>2.73</v>
      </c>
      <c r="M41" s="135"/>
      <c r="N4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08">
        <f>IF(Operations[[#This Row],[Calc List Price]]=0,0,IF(Operations[[#This Row],[Units per Hour]]*Operations[[#This Row],[Annual Use]]=0,0,(Operations[[#This Row],[Calc Beg Yr. Value]]-Operations[[#This Row],[Calc End Yr. Value]])/(Operations[[#This Row],[Annual Use]])))</f>
        <v>0.93257685297024362</v>
      </c>
      <c r="S41" s="109">
        <f>IF(Operations[[#This Row],[Annual Use]]=0,0,Operations[[#This Row],[Calc Beg Yr. Value]]*'General Variables'!$B$7/Operations[[#This Row],[Annual Use]])</f>
        <v>0.40167608658828713</v>
      </c>
      <c r="T41" s="109">
        <f>IF(Operations[[#This Row],[Annual Use]]=0,0,Operations[[#This Row],[Calc Beg Yr. Value]]*'General Variables'!$B$8/Operations[[#This Row],[Annual Use]])</f>
        <v>0.80335217317657426</v>
      </c>
      <c r="U41" s="109">
        <f>SUM(Operations[[#This Row],[Depreciation per Unit]:[Opportunity Cost per Unit]])</f>
        <v>2.137605112735105</v>
      </c>
      <c r="W41" s="115" t="s">
        <v>206</v>
      </c>
      <c r="X41" s="97" t="s">
        <v>202</v>
      </c>
      <c r="Y41" s="98">
        <v>0.06</v>
      </c>
      <c r="Z41" s="98">
        <v>1</v>
      </c>
      <c r="AA41" s="116"/>
    </row>
    <row r="42" spans="1:27" ht="12.75" customHeight="1">
      <c r="A42" s="128" t="s">
        <v>315</v>
      </c>
      <c r="B42" s="129" t="s">
        <v>79</v>
      </c>
      <c r="C42" s="130" t="s">
        <v>356</v>
      </c>
      <c r="D42" s="130" t="s">
        <v>366</v>
      </c>
      <c r="E42" s="131">
        <v>40000</v>
      </c>
      <c r="F42" s="132"/>
      <c r="G42" s="131">
        <v>5</v>
      </c>
      <c r="H42" s="131">
        <v>1000</v>
      </c>
      <c r="I42" s="136">
        <v>4.1121495327102808</v>
      </c>
      <c r="J42" s="134">
        <v>1.1000000000000001</v>
      </c>
      <c r="K42" s="130" t="s">
        <v>471</v>
      </c>
      <c r="L42" s="132">
        <v>2.580373831775701</v>
      </c>
      <c r="M42" s="135"/>
      <c r="N4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2"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2" s="108">
        <f>IF(Operations[[#This Row],[Calc List Price]]=0,0,IF(Operations[[#This Row],[Units per Hour]]*Operations[[#This Row],[Annual Use]]=0,0,(Operations[[#This Row],[Calc Beg Yr. Value]]-Operations[[#This Row],[Calc End Yr. Value]])/(Operations[[#This Row],[Annual Use]])))</f>
        <v>0.93257685297024362</v>
      </c>
      <c r="S42" s="109">
        <f>IF(Operations[[#This Row],[Annual Use]]=0,0,Operations[[#This Row],[Calc Beg Yr. Value]]*'General Variables'!$B$7/Operations[[#This Row],[Annual Use]])</f>
        <v>0.40167608658828713</v>
      </c>
      <c r="T42" s="109">
        <f>IF(Operations[[#This Row],[Annual Use]]=0,0,Operations[[#This Row],[Calc Beg Yr. Value]]*'General Variables'!$B$8/Operations[[#This Row],[Annual Use]])</f>
        <v>0.80335217317657426</v>
      </c>
      <c r="U42" s="109">
        <f>SUM(Operations[[#This Row],[Depreciation per Unit]:[Opportunity Cost per Unit]])</f>
        <v>2.137605112735105</v>
      </c>
      <c r="W42" s="117" t="s">
        <v>207</v>
      </c>
      <c r="X42" s="118" t="s">
        <v>202</v>
      </c>
      <c r="Y42" s="119">
        <v>4.1500000000000002E-2</v>
      </c>
      <c r="Z42" s="119">
        <v>1</v>
      </c>
      <c r="AA42" s="120"/>
    </row>
    <row r="43" spans="1:27" ht="12.75" customHeight="1">
      <c r="A43" s="128" t="s">
        <v>316</v>
      </c>
      <c r="B43" s="129" t="s">
        <v>79</v>
      </c>
      <c r="C43" s="130" t="s">
        <v>356</v>
      </c>
      <c r="D43" s="130" t="s">
        <v>366</v>
      </c>
      <c r="E43" s="137">
        <v>40000</v>
      </c>
      <c r="F43" s="132"/>
      <c r="G43" s="131">
        <v>5</v>
      </c>
      <c r="H43" s="137">
        <v>1000</v>
      </c>
      <c r="I43" s="136">
        <v>5.3877551020408161</v>
      </c>
      <c r="J43" s="134">
        <v>1.1000000000000001</v>
      </c>
      <c r="K43" s="130" t="s">
        <v>471</v>
      </c>
      <c r="L43" s="132">
        <v>3.3808163265306117</v>
      </c>
      <c r="M43" s="135"/>
      <c r="N4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3" s="108">
        <f>IF(Operations[[#This Row],[Calc List Price]]=0,0,IF(Operations[[#This Row],[Units per Hour]]*Operations[[#This Row],[Annual Use]]=0,0,(Operations[[#This Row],[Calc Beg Yr. Value]]-Operations[[#This Row],[Calc End Yr. Value]])/(Operations[[#This Row],[Annual Use]])))</f>
        <v>0.93257685297024362</v>
      </c>
      <c r="S43" s="109">
        <f>IF(Operations[[#This Row],[Annual Use]]=0,0,Operations[[#This Row],[Calc Beg Yr. Value]]*'General Variables'!$B$7/Operations[[#This Row],[Annual Use]])</f>
        <v>0.40167608658828713</v>
      </c>
      <c r="T43" s="109">
        <f>IF(Operations[[#This Row],[Annual Use]]=0,0,Operations[[#This Row],[Calc Beg Yr. Value]]*'General Variables'!$B$8/Operations[[#This Row],[Annual Use]])</f>
        <v>0.80335217317657426</v>
      </c>
      <c r="U43" s="109">
        <f>SUM(Operations[[#This Row],[Depreciation per Unit]:[Opportunity Cost per Unit]])</f>
        <v>2.137605112735105</v>
      </c>
      <c r="W43" s="115" t="s">
        <v>208</v>
      </c>
      <c r="X43" s="97" t="s">
        <v>202</v>
      </c>
      <c r="Y43" s="98">
        <v>0.06</v>
      </c>
      <c r="Z43" s="98">
        <v>1</v>
      </c>
      <c r="AA43" s="116"/>
    </row>
    <row r="44" spans="1:27" ht="12.75" customHeight="1">
      <c r="A44" s="128" t="s">
        <v>317</v>
      </c>
      <c r="B44" s="129" t="s">
        <v>79</v>
      </c>
      <c r="C44" s="130" t="s">
        <v>350</v>
      </c>
      <c r="D44" s="130" t="s">
        <v>364</v>
      </c>
      <c r="E44" s="140">
        <v>20000</v>
      </c>
      <c r="F44" s="132"/>
      <c r="G44" s="131">
        <v>5</v>
      </c>
      <c r="H44" s="131">
        <v>1000</v>
      </c>
      <c r="I44" s="138">
        <v>6</v>
      </c>
      <c r="J44" s="134">
        <v>1</v>
      </c>
      <c r="K44" s="130" t="s">
        <v>471</v>
      </c>
      <c r="L44" s="132">
        <v>5.332019704433498</v>
      </c>
      <c r="M44" s="135"/>
      <c r="N4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4"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4" s="108">
        <f>IF(Operations[[#This Row],[Calc List Price]]=0,0,IF(Operations[[#This Row],[Units per Hour]]*Operations[[#This Row],[Annual Use]]=0,0,(Operations[[#This Row],[Calc Beg Yr. Value]]-Operations[[#This Row],[Calc End Yr. Value]])/(Operations[[#This Row],[Annual Use]])))</f>
        <v>0.59469868861699338</v>
      </c>
      <c r="S44" s="109">
        <f>IF(Operations[[#This Row],[Annual Use]]=0,0,Operations[[#This Row],[Calc Beg Yr. Value]]*'General Variables'!$B$7/Operations[[#This Row],[Annual Use]])</f>
        <v>0.16642678202019645</v>
      </c>
      <c r="T44" s="109">
        <f>IF(Operations[[#This Row],[Annual Use]]=0,0,Operations[[#This Row],[Calc Beg Yr. Value]]*'General Variables'!$B$8/Operations[[#This Row],[Annual Use]])</f>
        <v>0.3328535640403929</v>
      </c>
      <c r="U44" s="109">
        <f>SUM(Operations[[#This Row],[Depreciation per Unit]:[Opportunity Cost per Unit]])</f>
        <v>1.0939790346775826</v>
      </c>
      <c r="W44" s="117" t="s">
        <v>209</v>
      </c>
      <c r="X44" s="118" t="s">
        <v>202</v>
      </c>
      <c r="Y44" s="119">
        <v>0.06</v>
      </c>
      <c r="Z44" s="119">
        <v>1</v>
      </c>
      <c r="AA44" s="120"/>
    </row>
    <row r="45" spans="1:27" ht="12.75" customHeight="1">
      <c r="A45" s="128" t="s">
        <v>318</v>
      </c>
      <c r="B45" s="129" t="s">
        <v>79</v>
      </c>
      <c r="C45" s="130" t="s">
        <v>356</v>
      </c>
      <c r="D45" s="130" t="s">
        <v>364</v>
      </c>
      <c r="E45" s="140">
        <v>40000</v>
      </c>
      <c r="F45" s="132"/>
      <c r="G45" s="131">
        <v>5</v>
      </c>
      <c r="H45" s="131">
        <v>1000</v>
      </c>
      <c r="I45" s="136">
        <v>5.3658536585365857</v>
      </c>
      <c r="J45" s="134">
        <v>1.1000000000000001</v>
      </c>
      <c r="K45" s="130" t="s">
        <v>470</v>
      </c>
      <c r="L45" s="132">
        <v>3.4073170731707321</v>
      </c>
      <c r="M45" s="135"/>
      <c r="N4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4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45"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45" s="108">
        <f>IF(Operations[[#This Row],[Calc List Price]]=0,0,IF(Operations[[#This Row],[Units per Hour]]*Operations[[#This Row],[Annual Use]]=0,0,(Operations[[#This Row],[Calc Beg Yr. Value]]-Operations[[#This Row],[Calc End Yr. Value]])/(Operations[[#This Row],[Annual Use]])))</f>
        <v>1.1893973772339868</v>
      </c>
      <c r="S45" s="109">
        <f>IF(Operations[[#This Row],[Annual Use]]=0,0,Operations[[#This Row],[Calc Beg Yr. Value]]*'General Variables'!$B$7/Operations[[#This Row],[Annual Use]])</f>
        <v>0.3328535640403929</v>
      </c>
      <c r="T45" s="109">
        <f>IF(Operations[[#This Row],[Annual Use]]=0,0,Operations[[#This Row],[Calc Beg Yr. Value]]*'General Variables'!$B$8/Operations[[#This Row],[Annual Use]])</f>
        <v>0.6657071280807858</v>
      </c>
      <c r="U45" s="109">
        <f>SUM(Operations[[#This Row],[Depreciation per Unit]:[Opportunity Cost per Unit]])</f>
        <v>2.1879580693551652</v>
      </c>
      <c r="W45" s="115" t="s">
        <v>210</v>
      </c>
      <c r="X45" s="97" t="s">
        <v>202</v>
      </c>
      <c r="Y45" s="98">
        <v>0.06</v>
      </c>
      <c r="Z45" s="98">
        <v>1</v>
      </c>
      <c r="AA45" s="116"/>
    </row>
    <row r="46" spans="1:27" ht="12.75" customHeight="1">
      <c r="A46" s="128" t="s">
        <v>444</v>
      </c>
      <c r="B46" s="129" t="s">
        <v>79</v>
      </c>
      <c r="C46" s="130" t="s">
        <v>357</v>
      </c>
      <c r="D46" s="130" t="s">
        <v>364</v>
      </c>
      <c r="E46" s="131">
        <v>16000</v>
      </c>
      <c r="F46" s="132"/>
      <c r="G46" s="131">
        <v>15</v>
      </c>
      <c r="H46" s="131">
        <v>200</v>
      </c>
      <c r="I46" s="136">
        <v>15</v>
      </c>
      <c r="J46" s="134">
        <v>1</v>
      </c>
      <c r="K46" s="130" t="s">
        <v>470</v>
      </c>
      <c r="L46" s="132">
        <v>3</v>
      </c>
      <c r="M46" s="135"/>
      <c r="N4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16000</v>
      </c>
      <c r="O4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0.1082489355562344</v>
      </c>
      <c r="P4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3459.1808716227547</v>
      </c>
      <c r="Q46"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3254.4160000000002</v>
      </c>
      <c r="R46" s="108">
        <f>IF(Operations[[#This Row],[Calc List Price]]=0,0,IF(Operations[[#This Row],[Units per Hour]]*Operations[[#This Row],[Annual Use]]=0,0,(Operations[[#This Row],[Calc Beg Yr. Value]]-Operations[[#This Row],[Calc End Yr. Value]])/(Operations[[#This Row],[Annual Use]])))</f>
        <v>1.0238243581137727</v>
      </c>
      <c r="S46" s="109">
        <f>IF(Operations[[#This Row],[Annual Use]]=0,0,Operations[[#This Row],[Calc Beg Yr. Value]]*'General Variables'!$B$7/Operations[[#This Row],[Annual Use]])</f>
        <v>0.34591808716227546</v>
      </c>
      <c r="T46" s="109">
        <f>IF(Operations[[#This Row],[Annual Use]]=0,0,Operations[[#This Row],[Calc Beg Yr. Value]]*'General Variables'!$B$8/Operations[[#This Row],[Annual Use]])</f>
        <v>0.69183617432455091</v>
      </c>
      <c r="U46" s="109">
        <f>SUM(Operations[[#This Row],[Depreciation per Unit]:[Opportunity Cost per Unit]])</f>
        <v>2.0615786196005992</v>
      </c>
      <c r="W46" s="117" t="s">
        <v>211</v>
      </c>
      <c r="X46" s="118" t="s">
        <v>202</v>
      </c>
      <c r="Y46" s="119">
        <v>0.02</v>
      </c>
      <c r="Z46" s="119">
        <v>1</v>
      </c>
      <c r="AA46" s="120"/>
    </row>
    <row r="47" spans="1:27" ht="12.75" customHeight="1">
      <c r="A47" s="128" t="s">
        <v>319</v>
      </c>
      <c r="B47" s="129" t="s">
        <v>79</v>
      </c>
      <c r="C47" s="130" t="s">
        <v>357</v>
      </c>
      <c r="D47" s="130" t="s">
        <v>364</v>
      </c>
      <c r="E47" s="131"/>
      <c r="F47" s="132">
        <v>7500</v>
      </c>
      <c r="G47" s="131">
        <v>5</v>
      </c>
      <c r="H47" s="131">
        <v>1000</v>
      </c>
      <c r="I47" s="136">
        <v>13.200000000000001</v>
      </c>
      <c r="J47" s="134">
        <v>1</v>
      </c>
      <c r="K47" s="130" t="s">
        <v>470</v>
      </c>
      <c r="L47" s="132">
        <v>5.346000000000001</v>
      </c>
      <c r="M47" s="135"/>
      <c r="N4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4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4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7"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47" s="108">
        <f>IF(Operations[[#This Row],[Calc List Price]]=0,0,IF(Operations[[#This Row],[Units per Hour]]*Operations[[#This Row],[Annual Use]]=0,0,(Operations[[#This Row],[Calc Beg Yr. Value]]-Operations[[#This Row],[Calc End Yr. Value]])/(Operations[[#This Row],[Annual Use]])))</f>
        <v>0.53600028919458231</v>
      </c>
      <c r="S47" s="109">
        <f>IF(Operations[[#This Row],[Annual Use]]=0,0,Operations[[#This Row],[Calc Beg Yr. Value]]*'General Variables'!$B$7/Operations[[#This Row],[Annual Use]])</f>
        <v>0.15</v>
      </c>
      <c r="T47" s="109">
        <f>IF(Operations[[#This Row],[Annual Use]]=0,0,Operations[[#This Row],[Calc Beg Yr. Value]]*'General Variables'!$B$8/Operations[[#This Row],[Annual Use]])</f>
        <v>0.3</v>
      </c>
      <c r="U47" s="109">
        <f>SUM(Operations[[#This Row],[Depreciation per Unit]:[Opportunity Cost per Unit]])</f>
        <v>0.98600028919458227</v>
      </c>
      <c r="W47" s="115" t="s">
        <v>212</v>
      </c>
      <c r="X47" s="97" t="s">
        <v>202</v>
      </c>
      <c r="Y47" s="98">
        <v>0.01</v>
      </c>
      <c r="Z47" s="98">
        <v>1</v>
      </c>
      <c r="AA47" s="116"/>
    </row>
    <row r="48" spans="1:27" ht="12.75" customHeight="1">
      <c r="A48" s="128" t="s">
        <v>320</v>
      </c>
      <c r="B48" s="129" t="s">
        <v>79</v>
      </c>
      <c r="C48" s="130" t="s">
        <v>348</v>
      </c>
      <c r="D48" s="130" t="s">
        <v>364</v>
      </c>
      <c r="E48" s="131">
        <v>1000</v>
      </c>
      <c r="F48" s="132"/>
      <c r="G48" s="131">
        <v>5</v>
      </c>
      <c r="H48" s="131">
        <v>300</v>
      </c>
      <c r="I48" s="138">
        <v>9</v>
      </c>
      <c r="J48" s="134">
        <v>1</v>
      </c>
      <c r="K48" s="130" t="s">
        <v>471</v>
      </c>
      <c r="L48" s="132">
        <v>5.4586466165413539</v>
      </c>
      <c r="M48" s="135"/>
      <c r="N4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v>
      </c>
      <c r="O4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1.3888884817435216E-2</v>
      </c>
      <c r="P4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416.06695505049112</v>
      </c>
      <c r="Q4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386.33202061964147</v>
      </c>
      <c r="R48" s="108">
        <f>IF(Operations[[#This Row],[Calc List Price]]=0,0,IF(Operations[[#This Row],[Units per Hour]]*Operations[[#This Row],[Annual Use]]=0,0,(Operations[[#This Row],[Calc Beg Yr. Value]]-Operations[[#This Row],[Calc End Yr. Value]])/(Operations[[#This Row],[Annual Use]])))</f>
        <v>9.9116448102832155E-2</v>
      </c>
      <c r="S48" s="109">
        <f>IF(Operations[[#This Row],[Annual Use]]=0,0,Operations[[#This Row],[Calc Beg Yr. Value]]*'General Variables'!$B$7/Operations[[#This Row],[Annual Use]])</f>
        <v>2.7737797003366076E-2</v>
      </c>
      <c r="T48" s="109">
        <f>IF(Operations[[#This Row],[Annual Use]]=0,0,Operations[[#This Row],[Calc Beg Yr. Value]]*'General Variables'!$B$8/Operations[[#This Row],[Annual Use]])</f>
        <v>5.5475594006732153E-2</v>
      </c>
      <c r="U48" s="109">
        <f>SUM(Operations[[#This Row],[Depreciation per Unit]:[Opportunity Cost per Unit]])</f>
        <v>0.18232983911293038</v>
      </c>
      <c r="W48" s="115" t="s">
        <v>213</v>
      </c>
      <c r="X48" s="97" t="s">
        <v>202</v>
      </c>
      <c r="Y48" s="98">
        <v>0.03</v>
      </c>
      <c r="Z48" s="98">
        <v>1</v>
      </c>
      <c r="AA48" s="116"/>
    </row>
    <row r="49" spans="1:21" ht="12.75" customHeight="1">
      <c r="A49" s="128" t="s">
        <v>321</v>
      </c>
      <c r="B49" s="129" t="s">
        <v>79</v>
      </c>
      <c r="C49" s="130" t="s">
        <v>350</v>
      </c>
      <c r="D49" s="130" t="s">
        <v>364</v>
      </c>
      <c r="E49" s="131">
        <v>45000</v>
      </c>
      <c r="F49" s="132"/>
      <c r="G49" s="131">
        <v>5</v>
      </c>
      <c r="H49" s="131">
        <v>1000</v>
      </c>
      <c r="I49" s="138">
        <v>6</v>
      </c>
      <c r="J49" s="134">
        <v>1</v>
      </c>
      <c r="K49" s="130" t="s">
        <v>470</v>
      </c>
      <c r="L49" s="132">
        <v>3.0561576354679807</v>
      </c>
      <c r="M49" s="135"/>
      <c r="N4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4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2.5277273224860433</v>
      </c>
      <c r="P4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18723.012977272101</v>
      </c>
      <c r="Q4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17384.940927883865</v>
      </c>
      <c r="R49" s="108">
        <f>IF(Operations[[#This Row],[Calc List Price]]=0,0,IF(Operations[[#This Row],[Units per Hour]]*Operations[[#This Row],[Annual Use]]=0,0,(Operations[[#This Row],[Calc Beg Yr. Value]]-Operations[[#This Row],[Calc End Yr. Value]])/(Operations[[#This Row],[Annual Use]])))</f>
        <v>1.3380720493882363</v>
      </c>
      <c r="S49" s="109">
        <f>IF(Operations[[#This Row],[Annual Use]]=0,0,Operations[[#This Row],[Calc Beg Yr. Value]]*'General Variables'!$B$7/Operations[[#This Row],[Annual Use]])</f>
        <v>0.37446025954544204</v>
      </c>
      <c r="T49" s="109">
        <f>IF(Operations[[#This Row],[Annual Use]]=0,0,Operations[[#This Row],[Calc Beg Yr. Value]]*'General Variables'!$B$8/Operations[[#This Row],[Annual Use]])</f>
        <v>0.74892051909088408</v>
      </c>
      <c r="U49" s="109">
        <f>SUM(Operations[[#This Row],[Depreciation per Unit]:[Opportunity Cost per Unit]])</f>
        <v>2.4614528280245622</v>
      </c>
    </row>
    <row r="50" spans="1:21" ht="12.75" customHeight="1">
      <c r="A50" s="128" t="s">
        <v>322</v>
      </c>
      <c r="B50" s="129" t="s">
        <v>79</v>
      </c>
      <c r="C50" s="129" t="s">
        <v>347</v>
      </c>
      <c r="D50" s="129" t="s">
        <v>366</v>
      </c>
      <c r="E50" s="140">
        <v>25000</v>
      </c>
      <c r="F50" s="132"/>
      <c r="G50" s="131">
        <v>5</v>
      </c>
      <c r="H50" s="131">
        <v>300</v>
      </c>
      <c r="I50" s="136">
        <v>4.907063197026023</v>
      </c>
      <c r="J50" s="134">
        <v>1.1000000000000001</v>
      </c>
      <c r="K50" s="130" t="s">
        <v>470</v>
      </c>
      <c r="L50" s="132">
        <v>4.2936802973977706</v>
      </c>
      <c r="M50" s="135"/>
      <c r="N5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0" s="108">
        <f>IF(Operations[[#This Row],[Calc List Price]]=0,0,IF(Operations[[#This Row],[Units per Hour]]*Operations[[#This Row],[Annual Use]]=0,0,(Operations[[#This Row],[Calc Beg Yr. Value]]-Operations[[#This Row],[Calc End Yr. Value]])/(Operations[[#This Row],[Annual Use]])))</f>
        <v>1.9428684436880153</v>
      </c>
      <c r="S50" s="109">
        <f>IF(Operations[[#This Row],[Annual Use]]=0,0,Operations[[#This Row],[Calc Beg Yr. Value]]*'General Variables'!$B$7/Operations[[#This Row],[Annual Use]])</f>
        <v>0.83682518039226506</v>
      </c>
      <c r="T50" s="109">
        <f>IF(Operations[[#This Row],[Annual Use]]=0,0,Operations[[#This Row],[Calc Beg Yr. Value]]*'General Variables'!$B$8/Operations[[#This Row],[Annual Use]])</f>
        <v>1.6736503607845301</v>
      </c>
      <c r="U50" s="109">
        <f>SUM(Operations[[#This Row],[Depreciation per Unit]:[Opportunity Cost per Unit]])</f>
        <v>4.4533439848648104</v>
      </c>
    </row>
    <row r="51" spans="1:21" ht="12.75" customHeight="1">
      <c r="A51" s="128" t="s">
        <v>323</v>
      </c>
      <c r="B51" s="129" t="s">
        <v>73</v>
      </c>
      <c r="C51" s="130" t="s">
        <v>358</v>
      </c>
      <c r="D51" s="130" t="s">
        <v>367</v>
      </c>
      <c r="E51" s="131">
        <v>23560</v>
      </c>
      <c r="F51" s="132"/>
      <c r="G51" s="131">
        <v>5</v>
      </c>
      <c r="H51" s="131">
        <v>1250</v>
      </c>
      <c r="I51" s="138">
        <v>3.92</v>
      </c>
      <c r="J51" s="134">
        <v>1</v>
      </c>
      <c r="K51" s="130" t="s">
        <v>471</v>
      </c>
      <c r="L51" s="132">
        <v>1.9051546391752581</v>
      </c>
      <c r="M51" s="135"/>
      <c r="N5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1"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1" s="108">
        <f>IF(Operations[[#This Row],[Calc List Price]]=0,0,IF(Operations[[#This Row],[Units per Hour]]*Operations[[#This Row],[Annual Use]]=0,0,(Operations[[#This Row],[Calc Beg Yr. Value]]-Operations[[#This Row],[Calc End Yr. Value]])/(Operations[[#This Row],[Annual Use]])))</f>
        <v>0.50003252995147773</v>
      </c>
      <c r="S51" s="109">
        <f>IF(Operations[[#This Row],[Annual Use]]=0,0,Operations[[#This Row],[Calc Beg Yr. Value]]*'General Variables'!$B$7/Operations[[#This Row],[Annual Use]])</f>
        <v>0.14779574640346979</v>
      </c>
      <c r="T51" s="109">
        <f>IF(Operations[[#This Row],[Annual Use]]=0,0,Operations[[#This Row],[Calc Beg Yr. Value]]*'General Variables'!$B$8/Operations[[#This Row],[Annual Use]])</f>
        <v>0.29559149280693958</v>
      </c>
      <c r="U51" s="109">
        <f>SUM(Operations[[#This Row],[Depreciation per Unit]:[Opportunity Cost per Unit]])</f>
        <v>0.94341976916188708</v>
      </c>
    </row>
    <row r="52" spans="1:21" ht="12.75" customHeight="1">
      <c r="A52" s="128" t="s">
        <v>62</v>
      </c>
      <c r="B52" s="129" t="s">
        <v>79</v>
      </c>
      <c r="C52" s="130" t="s">
        <v>359</v>
      </c>
      <c r="D52" s="130" t="s">
        <v>365</v>
      </c>
      <c r="E52" s="131">
        <v>34400</v>
      </c>
      <c r="F52" s="132"/>
      <c r="G52" s="131">
        <v>5</v>
      </c>
      <c r="H52" s="131">
        <v>2500</v>
      </c>
      <c r="I52" s="138">
        <v>22</v>
      </c>
      <c r="J52" s="134">
        <v>1.1000000000000001</v>
      </c>
      <c r="K52" s="130" t="s">
        <v>471</v>
      </c>
      <c r="L52" s="132">
        <v>2.64</v>
      </c>
      <c r="M52" s="135"/>
      <c r="N5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34400</v>
      </c>
      <c r="O5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0.7236042288576876</v>
      </c>
      <c r="P5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16606.328693472115</v>
      </c>
      <c r="Q52"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15493.21373857156</v>
      </c>
      <c r="R52" s="108">
        <f>IF(Operations[[#This Row],[Calc List Price]]=0,0,IF(Operations[[#This Row],[Units per Hour]]*Operations[[#This Row],[Annual Use]]=0,0,(Operations[[#This Row],[Calc Beg Yr. Value]]-Operations[[#This Row],[Calc End Yr. Value]])/(Operations[[#This Row],[Annual Use]])))</f>
        <v>0.44524598196022197</v>
      </c>
      <c r="S52" s="109">
        <f>IF(Operations[[#This Row],[Annual Use]]=0,0,Operations[[#This Row],[Calc Beg Yr. Value]]*'General Variables'!$B$7/Operations[[#This Row],[Annual Use]])</f>
        <v>0.13285062954777693</v>
      </c>
      <c r="T52" s="109">
        <f>IF(Operations[[#This Row],[Annual Use]]=0,0,Operations[[#This Row],[Calc Beg Yr. Value]]*'General Variables'!$B$8/Operations[[#This Row],[Annual Use]])</f>
        <v>0.26570125909555387</v>
      </c>
      <c r="U52" s="109">
        <f>SUM(Operations[[#This Row],[Depreciation per Unit]:[Opportunity Cost per Unit]])</f>
        <v>0.84379787060355271</v>
      </c>
    </row>
    <row r="53" spans="1:21" ht="12.75" customHeight="1">
      <c r="A53" s="128" t="s">
        <v>424</v>
      </c>
      <c r="B53" s="129" t="s">
        <v>79</v>
      </c>
      <c r="C53" s="130" t="s">
        <v>359</v>
      </c>
      <c r="D53" s="130" t="s">
        <v>365</v>
      </c>
      <c r="E53" s="131">
        <v>20553</v>
      </c>
      <c r="F53" s="132"/>
      <c r="G53" s="131">
        <v>5</v>
      </c>
      <c r="H53" s="131">
        <v>2000</v>
      </c>
      <c r="I53" s="136">
        <v>66</v>
      </c>
      <c r="J53" s="134">
        <v>1.1000000000000001</v>
      </c>
      <c r="K53" s="130" t="s">
        <v>470</v>
      </c>
      <c r="L53" s="132">
        <v>0</v>
      </c>
      <c r="M53" s="135"/>
      <c r="N5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3" s="108">
        <f>IF(Operations[[#This Row],[Calc List Price]]=0,0,IF(Operations[[#This Row],[Units per Hour]]*Operations[[#This Row],[Annual Use]]=0,0,(Operations[[#This Row],[Calc Beg Yr. Value]]-Operations[[#This Row],[Calc End Yr. Value]])/(Operations[[#This Row],[Annual Use]])))</f>
        <v>0.33252691378010329</v>
      </c>
      <c r="S53" s="109">
        <f>IF(Operations[[#This Row],[Annual Use]]=0,0,Operations[[#This Row],[Calc Beg Yr. Value]]*'General Variables'!$B$7/Operations[[#This Row],[Annual Use]])</f>
        <v>9.9217986522364077E-2</v>
      </c>
      <c r="T53" s="109">
        <f>IF(Operations[[#This Row],[Annual Use]]=0,0,Operations[[#This Row],[Calc Beg Yr. Value]]*'General Variables'!$B$8/Operations[[#This Row],[Annual Use]])</f>
        <v>0.19843597304472815</v>
      </c>
      <c r="U53" s="109">
        <f>SUM(Operations[[#This Row],[Depreciation per Unit]:[Opportunity Cost per Unit]])</f>
        <v>0.63018087334719552</v>
      </c>
    </row>
    <row r="54" spans="1:21" ht="12.75" customHeight="1">
      <c r="A54" s="128" t="s">
        <v>324</v>
      </c>
      <c r="B54" s="129" t="s">
        <v>79</v>
      </c>
      <c r="C54" s="130" t="s">
        <v>360</v>
      </c>
      <c r="D54" s="130" t="s">
        <v>365</v>
      </c>
      <c r="E54" s="131">
        <v>27400</v>
      </c>
      <c r="F54" s="132"/>
      <c r="G54" s="131">
        <v>5</v>
      </c>
      <c r="H54" s="131">
        <v>1000</v>
      </c>
      <c r="I54" s="136">
        <v>13.469387755102042</v>
      </c>
      <c r="J54" s="134">
        <v>1.1000000000000001</v>
      </c>
      <c r="K54" s="130" t="s">
        <v>470</v>
      </c>
      <c r="L54" s="132">
        <v>1.6836734693877553</v>
      </c>
      <c r="M54" s="135"/>
      <c r="N5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27400</v>
      </c>
      <c r="O5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0.38020497371820355</v>
      </c>
      <c r="P5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13227.133901195812</v>
      </c>
      <c r="Q54"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12340.524896420371</v>
      </c>
      <c r="R54" s="108">
        <f>IF(Operations[[#This Row],[Calc List Price]]=0,0,IF(Operations[[#This Row],[Units per Hour]]*Operations[[#This Row],[Annual Use]]=0,0,(Operations[[#This Row],[Calc Beg Yr. Value]]-Operations[[#This Row],[Calc End Yr. Value]])/(Operations[[#This Row],[Annual Use]])))</f>
        <v>0.88660900477544058</v>
      </c>
      <c r="S54" s="109">
        <f>IF(Operations[[#This Row],[Annual Use]]=0,0,Operations[[#This Row],[Calc Beg Yr. Value]]*'General Variables'!$B$7/Operations[[#This Row],[Annual Use]])</f>
        <v>0.26454267802391623</v>
      </c>
      <c r="T54" s="109">
        <f>IF(Operations[[#This Row],[Annual Use]]=0,0,Operations[[#This Row],[Calc Beg Yr. Value]]*'General Variables'!$B$8/Operations[[#This Row],[Annual Use]])</f>
        <v>0.52908535604783247</v>
      </c>
      <c r="U54" s="109">
        <f>SUM(Operations[[#This Row],[Depreciation per Unit]:[Opportunity Cost per Unit]])</f>
        <v>1.6802370388471894</v>
      </c>
    </row>
    <row r="55" spans="1:21" ht="12.75" customHeight="1">
      <c r="A55" s="128" t="s">
        <v>325</v>
      </c>
      <c r="B55" s="129" t="s">
        <v>3</v>
      </c>
      <c r="C55" s="129" t="s">
        <v>361</v>
      </c>
      <c r="D55" s="129" t="s">
        <v>365</v>
      </c>
      <c r="E55" s="131"/>
      <c r="F55" s="132"/>
      <c r="G55" s="131"/>
      <c r="H55" s="131"/>
      <c r="I55" s="136"/>
      <c r="J55" s="134"/>
      <c r="K55" s="130"/>
      <c r="L55" s="132" t="s">
        <v>392</v>
      </c>
      <c r="M55" s="135"/>
      <c r="N55" s="91" t="e">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#DIV/0!</v>
      </c>
      <c r="O55" s="108" t="e">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#DIV/0!</v>
      </c>
      <c r="P55" s="91" t="e">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#DIV/0!</v>
      </c>
      <c r="Q55" s="91" t="e">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#DIV/0!</v>
      </c>
      <c r="R55" s="108" t="e">
        <f>IF(Operations[[#This Row],[Calc List Price]]=0,0,IF(Operations[[#This Row],[Units per Hour]]*Operations[[#This Row],[Annual Use]]=0,0,(Operations[[#This Row],[Calc Beg Yr. Value]]-Operations[[#This Row],[Calc End Yr. Value]])/(Operations[[#This Row],[Annual Use]])))</f>
        <v>#DIV/0!</v>
      </c>
      <c r="S55" s="109">
        <f>IF(Operations[[#This Row],[Annual Use]]=0,0,Operations[[#This Row],[Calc Beg Yr. Value]]*'General Variables'!$B$7/Operations[[#This Row],[Annual Use]])</f>
        <v>0</v>
      </c>
      <c r="T55" s="109">
        <f>IF(Operations[[#This Row],[Annual Use]]=0,0,Operations[[#This Row],[Calc Beg Yr. Value]]*'General Variables'!$B$8/Operations[[#This Row],[Annual Use]])</f>
        <v>0</v>
      </c>
      <c r="U55" s="109" t="e">
        <f>SUM(Operations[[#This Row],[Depreciation per Unit]:[Opportunity Cost per Unit]])</f>
        <v>#DIV/0!</v>
      </c>
    </row>
    <row r="56" spans="1:21" ht="12.75" customHeight="1">
      <c r="A56" s="128" t="s">
        <v>326</v>
      </c>
      <c r="B56" s="129" t="s">
        <v>79</v>
      </c>
      <c r="C56" s="129" t="s">
        <v>361</v>
      </c>
      <c r="D56" s="129" t="s">
        <v>365</v>
      </c>
      <c r="E56" s="131"/>
      <c r="F56" s="143"/>
      <c r="G56" s="131">
        <v>5</v>
      </c>
      <c r="H56" s="131">
        <v>1000</v>
      </c>
      <c r="I56" s="138">
        <v>12.7</v>
      </c>
      <c r="J56" s="134">
        <v>1</v>
      </c>
      <c r="K56" s="130" t="s">
        <v>471</v>
      </c>
      <c r="L56" s="132">
        <v>3.8617021276595755</v>
      </c>
      <c r="M56" s="135"/>
      <c r="N5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6"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6" s="108">
        <f>IF(Operations[[#This Row],[Calc List Price]]=0,0,IF(Operations[[#This Row],[Units per Hour]]*Operations[[#This Row],[Annual Use]]=0,0,(Operations[[#This Row],[Calc Beg Yr. Value]]-Operations[[#This Row],[Calc End Yr. Value]])/(Operations[[#This Row],[Annual Use]])))</f>
        <v>0</v>
      </c>
      <c r="S56" s="109">
        <f>IF(Operations[[#This Row],[Annual Use]]=0,0,Operations[[#This Row],[Calc Beg Yr. Value]]*'General Variables'!$B$7/Operations[[#This Row],[Annual Use]])</f>
        <v>0</v>
      </c>
      <c r="T56" s="109">
        <f>IF(Operations[[#This Row],[Annual Use]]=0,0,Operations[[#This Row],[Calc Beg Yr. Value]]*'General Variables'!$B$8/Operations[[#This Row],[Annual Use]])</f>
        <v>0</v>
      </c>
      <c r="U56" s="109">
        <f>SUM(Operations[[#This Row],[Depreciation per Unit]:[Opportunity Cost per Unit]])</f>
        <v>0</v>
      </c>
    </row>
    <row r="57" spans="1:21" ht="12.75" customHeight="1">
      <c r="A57" s="128" t="s">
        <v>327</v>
      </c>
      <c r="B57" s="129" t="s">
        <v>72</v>
      </c>
      <c r="C57" s="130"/>
      <c r="D57" s="130" t="s">
        <v>337</v>
      </c>
      <c r="E57" s="131">
        <v>12725</v>
      </c>
      <c r="F57" s="132"/>
      <c r="G57" s="131">
        <v>5</v>
      </c>
      <c r="H57" s="131">
        <v>1250</v>
      </c>
      <c r="I57" s="138">
        <v>3.13</v>
      </c>
      <c r="J57" s="134">
        <v>1</v>
      </c>
      <c r="K57" s="130" t="s">
        <v>471</v>
      </c>
      <c r="L57" s="132">
        <v>1.7584507042253523</v>
      </c>
      <c r="M57" s="135"/>
      <c r="N5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5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57"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57" s="108">
        <f>IF(Operations[[#This Row],[Calc List Price]]=0,0,IF(Operations[[#This Row],[Units per Hour]]*Operations[[#This Row],[Annual Use]]=0,0,(Operations[[#This Row],[Calc Beg Yr. Value]]-Operations[[#This Row],[Calc End Yr. Value]])/(Operations[[#This Row],[Annual Use]])))</f>
        <v>0.22847609408854333</v>
      </c>
      <c r="S57" s="109">
        <f>IF(Operations[[#This Row],[Annual Use]]=0,0,Operations[[#This Row],[Calc Beg Yr. Value]]*'General Variables'!$B$7/Operations[[#This Row],[Annual Use]])</f>
        <v>7.0278074219198516E-2</v>
      </c>
      <c r="T57" s="109">
        <f>IF(Operations[[#This Row],[Annual Use]]=0,0,Operations[[#This Row],[Calc Beg Yr. Value]]*'General Variables'!$B$8/Operations[[#This Row],[Annual Use]])</f>
        <v>0.14055614843839703</v>
      </c>
      <c r="U57" s="109">
        <f>SUM(Operations[[#This Row],[Depreciation per Unit]:[Opportunity Cost per Unit]])</f>
        <v>0.43931031674613885</v>
      </c>
    </row>
    <row r="58" spans="1:21" ht="12.75" customHeight="1">
      <c r="A58" s="128" t="s">
        <v>328</v>
      </c>
      <c r="B58" s="129" t="s">
        <v>79</v>
      </c>
      <c r="C58" s="130" t="s">
        <v>341</v>
      </c>
      <c r="D58" s="130" t="s">
        <v>364</v>
      </c>
      <c r="E58" s="131">
        <v>11193</v>
      </c>
      <c r="F58" s="132"/>
      <c r="G58" s="131">
        <v>5</v>
      </c>
      <c r="H58" s="131">
        <v>500</v>
      </c>
      <c r="I58" s="136">
        <v>8.25</v>
      </c>
      <c r="J58" s="134">
        <v>1</v>
      </c>
      <c r="K58" s="130" t="s">
        <v>470</v>
      </c>
      <c r="L58" s="132">
        <v>8.25</v>
      </c>
      <c r="M58" s="135"/>
      <c r="N5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5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5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58"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58" s="108">
        <f>IF(Operations[[#This Row],[Calc List Price]]=0,0,IF(Operations[[#This Row],[Units per Hour]]*Operations[[#This Row],[Annual Use]]=0,0,(Operations[[#This Row],[Calc Beg Yr. Value]]-Operations[[#This Row],[Calc End Yr. Value]])/(Operations[[#This Row],[Annual Use]])))</f>
        <v>0.66564624216900115</v>
      </c>
      <c r="S58" s="109">
        <f>IF(Operations[[#This Row],[Annual Use]]=0,0,Operations[[#This Row],[Calc Beg Yr. Value]]*'General Variables'!$B$7/Operations[[#This Row],[Annual Use]])</f>
        <v>0.18628149711520589</v>
      </c>
      <c r="T58" s="109">
        <f>IF(Operations[[#This Row],[Annual Use]]=0,0,Operations[[#This Row],[Calc Beg Yr. Value]]*'General Variables'!$B$8/Operations[[#This Row],[Annual Use]])</f>
        <v>0.37256299423041178</v>
      </c>
      <c r="U58" s="109">
        <f>SUM(Operations[[#This Row],[Depreciation per Unit]:[Opportunity Cost per Unit]])</f>
        <v>1.2244907335146189</v>
      </c>
    </row>
    <row r="59" spans="1:21" ht="12.75" customHeight="1">
      <c r="A59" s="128" t="s">
        <v>329</v>
      </c>
      <c r="B59" s="129" t="s">
        <v>79</v>
      </c>
      <c r="C59" s="130" t="s">
        <v>362</v>
      </c>
      <c r="D59" s="130" t="s">
        <v>337</v>
      </c>
      <c r="E59" s="131">
        <v>49900</v>
      </c>
      <c r="F59" s="132"/>
      <c r="G59" s="131">
        <v>5</v>
      </c>
      <c r="H59" s="131">
        <v>500</v>
      </c>
      <c r="I59" s="138">
        <v>8.0500000000000007</v>
      </c>
      <c r="J59" s="134">
        <v>1</v>
      </c>
      <c r="K59" s="130" t="s">
        <v>336</v>
      </c>
      <c r="L59" s="132">
        <v>5</v>
      </c>
      <c r="M59" s="135"/>
      <c r="N5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49900</v>
      </c>
      <c r="O5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0.93686162254683791</v>
      </c>
      <c r="P5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17224.341372976454</v>
      </c>
      <c r="Q59"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16104.404526707467</v>
      </c>
      <c r="R59" s="108">
        <f>IF(Operations[[#This Row],[Calc List Price]]=0,0,IF(Operations[[#This Row],[Units per Hour]]*Operations[[#This Row],[Annual Use]]=0,0,(Operations[[#This Row],[Calc Beg Yr. Value]]-Operations[[#This Row],[Calc End Yr. Value]])/(Operations[[#This Row],[Annual Use]])))</f>
        <v>2.2398736925379743</v>
      </c>
      <c r="S59" s="109">
        <f>IF(Operations[[#This Row],[Annual Use]]=0,0,Operations[[#This Row],[Calc Beg Yr. Value]]*'General Variables'!$B$7/Operations[[#This Row],[Annual Use]])</f>
        <v>0.68897365491905815</v>
      </c>
      <c r="T59" s="109">
        <f>IF(Operations[[#This Row],[Annual Use]]=0,0,Operations[[#This Row],[Calc Beg Yr. Value]]*'General Variables'!$B$8/Operations[[#This Row],[Annual Use]])</f>
        <v>1.3779473098381163</v>
      </c>
      <c r="U59" s="109">
        <f>SUM(Operations[[#This Row],[Depreciation per Unit]:[Opportunity Cost per Unit]])</f>
        <v>4.3067946572951481</v>
      </c>
    </row>
    <row r="60" spans="1:21" ht="12.75" customHeight="1">
      <c r="A60" s="128" t="s">
        <v>330</v>
      </c>
      <c r="B60" s="129" t="s">
        <v>79</v>
      </c>
      <c r="C60" s="130" t="s">
        <v>356</v>
      </c>
      <c r="D60" s="130" t="s">
        <v>366</v>
      </c>
      <c r="E60" s="141">
        <v>65000</v>
      </c>
      <c r="F60" s="132"/>
      <c r="G60" s="131">
        <v>5</v>
      </c>
      <c r="H60" s="131">
        <v>300</v>
      </c>
      <c r="I60" s="136">
        <v>7.1739130434782608</v>
      </c>
      <c r="J60" s="134">
        <v>1.1000000000000001</v>
      </c>
      <c r="K60" s="130" t="s">
        <v>470</v>
      </c>
      <c r="L60" s="132">
        <v>9.1108695652173921</v>
      </c>
      <c r="M60" s="135"/>
      <c r="N6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6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1.2091856510367087</v>
      </c>
      <c r="P6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32636.182035298334</v>
      </c>
      <c r="Q60"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31120.744649221684</v>
      </c>
      <c r="R60" s="108">
        <f>IF(Operations[[#This Row],[Calc List Price]]=0,0,IF(Operations[[#This Row],[Units per Hour]]*Operations[[#This Row],[Annual Use]]=0,0,(Operations[[#This Row],[Calc Beg Yr. Value]]-Operations[[#This Row],[Calc End Yr. Value]])/(Operations[[#This Row],[Annual Use]])))</f>
        <v>5.0514579535888338</v>
      </c>
      <c r="S60" s="109">
        <f>IF(Operations[[#This Row],[Annual Use]]=0,0,Operations[[#This Row],[Calc Beg Yr. Value]]*'General Variables'!$B$7/Operations[[#This Row],[Annual Use]])</f>
        <v>2.1757454690198887</v>
      </c>
      <c r="T60" s="109">
        <f>IF(Operations[[#This Row],[Annual Use]]=0,0,Operations[[#This Row],[Calc Beg Yr. Value]]*'General Variables'!$B$8/Operations[[#This Row],[Annual Use]])</f>
        <v>4.3514909380397775</v>
      </c>
      <c r="U60" s="109">
        <f>SUM(Operations[[#This Row],[Depreciation per Unit]:[Opportunity Cost per Unit]])</f>
        <v>11.5786943606485</v>
      </c>
    </row>
    <row r="61" spans="1:21" ht="12.75" customHeight="1">
      <c r="A61" s="128" t="s">
        <v>331</v>
      </c>
      <c r="B61" s="129" t="s">
        <v>79</v>
      </c>
      <c r="C61" s="130" t="s">
        <v>363</v>
      </c>
      <c r="D61" s="130" t="s">
        <v>337</v>
      </c>
      <c r="E61" s="131">
        <v>35000</v>
      </c>
      <c r="F61" s="143"/>
      <c r="G61" s="131">
        <v>5</v>
      </c>
      <c r="H61" s="131">
        <v>300</v>
      </c>
      <c r="I61" s="136">
        <v>5.7894736842105274</v>
      </c>
      <c r="J61" s="134">
        <v>1</v>
      </c>
      <c r="K61" s="130" t="s">
        <v>470</v>
      </c>
      <c r="L61" s="132">
        <v>3.936842105263159</v>
      </c>
      <c r="M61" s="135"/>
      <c r="N6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1.4338678637452476</v>
      </c>
      <c r="P6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12081.20136381114</v>
      </c>
      <c r="Q61"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11295.674517730688</v>
      </c>
      <c r="R61" s="108">
        <f>IF(Operations[[#This Row],[Calc List Price]]=0,0,IF(Operations[[#This Row],[Units per Hour]]*Operations[[#This Row],[Annual Use]]=0,0,(Operations[[#This Row],[Calc Beg Yr. Value]]-Operations[[#This Row],[Calc End Yr. Value]])/(Operations[[#This Row],[Annual Use]])))</f>
        <v>2.6184228202681759</v>
      </c>
      <c r="S61" s="109">
        <f>IF(Operations[[#This Row],[Annual Use]]=0,0,Operations[[#This Row],[Calc Beg Yr. Value]]*'General Variables'!$B$7/Operations[[#This Row],[Annual Use]])</f>
        <v>0.80541342425407603</v>
      </c>
      <c r="T61" s="109">
        <f>IF(Operations[[#This Row],[Annual Use]]=0,0,Operations[[#This Row],[Calc Beg Yr. Value]]*'General Variables'!$B$8/Operations[[#This Row],[Annual Use]])</f>
        <v>1.6108268485081521</v>
      </c>
      <c r="U61" s="109">
        <f>SUM(Operations[[#This Row],[Depreciation per Unit]:[Opportunity Cost per Unit]])</f>
        <v>5.0346630930304039</v>
      </c>
    </row>
    <row r="62" spans="1:21" ht="12.75" customHeight="1">
      <c r="A62" s="128" t="s">
        <v>332</v>
      </c>
      <c r="B62" s="129" t="s">
        <v>3</v>
      </c>
      <c r="C62" s="129"/>
      <c r="D62" s="129"/>
      <c r="E62" s="131"/>
      <c r="F62" s="132"/>
      <c r="G62" s="131">
        <v>5</v>
      </c>
      <c r="H62" s="131"/>
      <c r="I62" s="136" t="s">
        <v>392</v>
      </c>
      <c r="J62" s="134"/>
      <c r="K62" s="130" t="s">
        <v>470</v>
      </c>
      <c r="L62" s="132" t="s">
        <v>392</v>
      </c>
      <c r="M62" s="135"/>
      <c r="N6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2"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2" s="108">
        <f>IF(Operations[[#This Row],[Calc List Price]]=0,0,IF(Operations[[#This Row],[Units per Hour]]*Operations[[#This Row],[Annual Use]]=0,0,(Operations[[#This Row],[Calc Beg Yr. Value]]-Operations[[#This Row],[Calc End Yr. Value]])/(Operations[[#This Row],[Annual Use]])))</f>
        <v>0</v>
      </c>
      <c r="S62" s="109">
        <f>IF(Operations[[#This Row],[Annual Use]]=0,0,Operations[[#This Row],[Calc Beg Yr. Value]]*'General Variables'!$B$7/Operations[[#This Row],[Annual Use]])</f>
        <v>0</v>
      </c>
      <c r="T62" s="109">
        <f>IF(Operations[[#This Row],[Annual Use]]=0,0,Operations[[#This Row],[Calc Beg Yr. Value]]*'General Variables'!$B$8/Operations[[#This Row],[Annual Use]])</f>
        <v>0</v>
      </c>
      <c r="U62" s="109">
        <f>SUM(Operations[[#This Row],[Depreciation per Unit]:[Opportunity Cost per Unit]])</f>
        <v>0</v>
      </c>
    </row>
    <row r="63" spans="1:21" ht="12.75" customHeight="1">
      <c r="A63" s="128" t="s">
        <v>333</v>
      </c>
      <c r="B63" s="129" t="s">
        <v>79</v>
      </c>
      <c r="C63" s="130" t="s">
        <v>346</v>
      </c>
      <c r="D63" s="130" t="s">
        <v>337</v>
      </c>
      <c r="E63" s="131">
        <v>17850</v>
      </c>
      <c r="F63" s="132"/>
      <c r="G63" s="131">
        <v>5</v>
      </c>
      <c r="H63" s="131">
        <v>300</v>
      </c>
      <c r="I63" s="138">
        <v>11.4</v>
      </c>
      <c r="J63" s="134">
        <v>1</v>
      </c>
      <c r="K63" s="130" t="s">
        <v>471</v>
      </c>
      <c r="L63" s="132">
        <v>2.0971962616822433</v>
      </c>
      <c r="M63" s="135"/>
      <c r="N6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3" s="91">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3" s="108">
        <f>IF(Operations[[#This Row],[Calc List Price]]=0,0,IF(Operations[[#This Row],[Units per Hour]]*Operations[[#This Row],[Annual Use]]=0,0,(Operations[[#This Row],[Calc Beg Yr. Value]]-Operations[[#This Row],[Calc End Yr. Value]])/(Operations[[#This Row],[Annual Use]])))</f>
        <v>1.3353956383367676</v>
      </c>
      <c r="S63" s="109">
        <f>IF(Operations[[#This Row],[Annual Use]]=0,0,Operations[[#This Row],[Calc Beg Yr. Value]]*'General Variables'!$B$7/Operations[[#This Row],[Annual Use]])</f>
        <v>0.41076084636957877</v>
      </c>
      <c r="T63" s="109">
        <f>IF(Operations[[#This Row],[Annual Use]]=0,0,Operations[[#This Row],[Calc Beg Yr. Value]]*'General Variables'!$B$8/Operations[[#This Row],[Annual Use]])</f>
        <v>0.82152169273915754</v>
      </c>
      <c r="U63" s="109">
        <f>SUM(Operations[[#This Row],[Depreciation per Unit]:[Opportunity Cost per Unit]])</f>
        <v>2.5676781774455035</v>
      </c>
    </row>
    <row r="64" spans="1:21" ht="12.75" customHeight="1">
      <c r="A64" s="128" t="s">
        <v>334</v>
      </c>
      <c r="B64" s="129" t="s">
        <v>79</v>
      </c>
      <c r="C64" s="130" t="s">
        <v>362</v>
      </c>
      <c r="D64" s="130" t="s">
        <v>337</v>
      </c>
      <c r="E64" s="131"/>
      <c r="F64" s="132"/>
      <c r="G64" s="131">
        <v>5</v>
      </c>
      <c r="H64" s="131">
        <v>200</v>
      </c>
      <c r="I64" s="136">
        <v>9.4964028776978431</v>
      </c>
      <c r="J64" s="134">
        <v>1</v>
      </c>
      <c r="K64" s="130" t="s">
        <v>336</v>
      </c>
      <c r="L64" s="132">
        <v>3.2762589928057557</v>
      </c>
      <c r="M64" s="135"/>
      <c r="N6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08">
        <f>IF(Operations[[#This Row],[Calc List Price]]=0,0,IF(Operations[[#This Row],[Units per Hour]]*Operations[[#This Row],[Annual Use]]=0,0,(Operations[[#This Row],[Calc Beg Yr. Value]]-Operations[[#This Row],[Calc End Yr. Value]])/(Operations[[#This Row],[Annual Use]])))</f>
        <v>0</v>
      </c>
      <c r="S64" s="109">
        <f>IF(Operations[[#This Row],[Annual Use]]=0,0,Operations[[#This Row],[Calc Beg Yr. Value]]*'General Variables'!$B$7/Operations[[#This Row],[Annual Use]])</f>
        <v>0</v>
      </c>
      <c r="T64" s="109">
        <f>IF(Operations[[#This Row],[Annual Use]]=0,0,Operations[[#This Row],[Calc Beg Yr. Value]]*'General Variables'!$B$8/Operations[[#This Row],[Annual Use]])</f>
        <v>0</v>
      </c>
      <c r="U64" s="109">
        <f>SUM(Operations[[#This Row],[Depreciation per Unit]:[Opportunity Cost per Unit]])</f>
        <v>0</v>
      </c>
    </row>
    <row r="65" spans="1:21" ht="12.75" customHeight="1">
      <c r="A65" s="128"/>
      <c r="B65" s="129"/>
      <c r="C65" s="130"/>
      <c r="D65" s="130"/>
      <c r="E65" s="131"/>
      <c r="F65" s="132"/>
      <c r="G65" s="131"/>
      <c r="H65" s="137"/>
      <c r="I65" s="136"/>
      <c r="J65" s="134"/>
      <c r="K65" s="130"/>
      <c r="L65" s="132"/>
      <c r="M65" s="135"/>
      <c r="N6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5"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5" s="108">
        <f>IF(Operations[[#This Row],[Calc List Price]]=0,0,IF(Operations[[#This Row],[Units per Hour]]*Operations[[#This Row],[Annual Use]]=0,0,(Operations[[#This Row],[Calc Beg Yr. Value]]-Operations[[#This Row],[Calc End Yr. Value]])/(Operations[[#This Row],[Annual Use]])))</f>
        <v>0</v>
      </c>
      <c r="S65" s="109">
        <f>IF(Operations[[#This Row],[Annual Use]]=0,0,Operations[[#This Row],[Calc Beg Yr. Value]]*'General Variables'!$B$7/Operations[[#This Row],[Annual Use]])</f>
        <v>0</v>
      </c>
      <c r="T65" s="109">
        <f>IF(Operations[[#This Row],[Annual Use]]=0,0,Operations[[#This Row],[Calc Beg Yr. Value]]*'General Variables'!$B$8/Operations[[#This Row],[Annual Use]])</f>
        <v>0</v>
      </c>
      <c r="U65" s="109">
        <f>SUM(Operations[[#This Row],[Depreciation per Unit]:[Opportunity Cost per Unit]])</f>
        <v>0</v>
      </c>
    </row>
    <row r="66" spans="1:21" ht="12.75" customHeight="1">
      <c r="A66" s="128"/>
      <c r="B66" s="129"/>
      <c r="C66" s="130"/>
      <c r="D66" s="130"/>
      <c r="E66" s="140"/>
      <c r="F66" s="132"/>
      <c r="G66" s="131"/>
      <c r="H66" s="131"/>
      <c r="I66" s="136"/>
      <c r="J66" s="134"/>
      <c r="K66" s="130"/>
      <c r="L66" s="132"/>
      <c r="M66" s="135"/>
      <c r="N6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6"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6" s="108">
        <f>IF(Operations[[#This Row],[Calc List Price]]=0,0,IF(Operations[[#This Row],[Units per Hour]]*Operations[[#This Row],[Annual Use]]=0,0,(Operations[[#This Row],[Calc Beg Yr. Value]]-Operations[[#This Row],[Calc End Yr. Value]])/(Operations[[#This Row],[Annual Use]])))</f>
        <v>0</v>
      </c>
      <c r="S66" s="109">
        <f>IF(Operations[[#This Row],[Annual Use]]=0,0,Operations[[#This Row],[Calc Beg Yr. Value]]*'General Variables'!$B$7/Operations[[#This Row],[Annual Use]])</f>
        <v>0</v>
      </c>
      <c r="T66" s="109">
        <f>IF(Operations[[#This Row],[Annual Use]]=0,0,Operations[[#This Row],[Calc Beg Yr. Value]]*'General Variables'!$B$8/Operations[[#This Row],[Annual Use]])</f>
        <v>0</v>
      </c>
      <c r="U66" s="109">
        <f>SUM(Operations[[#This Row],[Depreciation per Unit]:[Opportunity Cost per Unit]])</f>
        <v>0</v>
      </c>
    </row>
    <row r="67" spans="1:21" ht="12.75" customHeight="1">
      <c r="A67" s="128"/>
      <c r="B67" s="129"/>
      <c r="C67" s="130"/>
      <c r="D67" s="130"/>
      <c r="E67" s="131"/>
      <c r="F67" s="132"/>
      <c r="G67" s="131"/>
      <c r="H67" s="137"/>
      <c r="I67" s="136"/>
      <c r="J67" s="134"/>
      <c r="K67" s="130"/>
      <c r="L67" s="132"/>
      <c r="M67" s="135"/>
      <c r="N6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08">
        <f>IF(Operations[[#This Row],[Calc List Price]]=0,0,IF(Operations[[#This Row],[Units per Hour]]*Operations[[#This Row],[Annual Use]]=0,0,(Operations[[#This Row],[Calc Beg Yr. Value]]-Operations[[#This Row],[Calc End Yr. Value]])/(Operations[[#This Row],[Annual Use]])))</f>
        <v>0</v>
      </c>
      <c r="S67" s="109">
        <f>IF(Operations[[#This Row],[Annual Use]]=0,0,Operations[[#This Row],[Calc Beg Yr. Value]]*'General Variables'!$B$7/Operations[[#This Row],[Annual Use]])</f>
        <v>0</v>
      </c>
      <c r="T67" s="109">
        <f>IF(Operations[[#This Row],[Annual Use]]=0,0,Operations[[#This Row],[Calc Beg Yr. Value]]*'General Variables'!$B$8/Operations[[#This Row],[Annual Use]])</f>
        <v>0</v>
      </c>
      <c r="U67" s="109">
        <f>SUM(Operations[[#This Row],[Depreciation per Unit]:[Opportunity Cost per Unit]])</f>
        <v>0</v>
      </c>
    </row>
    <row r="68" spans="1:21" ht="12.75" customHeight="1">
      <c r="A68" s="128"/>
      <c r="B68" s="129"/>
      <c r="C68" s="130"/>
      <c r="D68" s="130"/>
      <c r="E68" s="141"/>
      <c r="F68" s="132"/>
      <c r="G68" s="131"/>
      <c r="H68" s="137"/>
      <c r="I68" s="136"/>
      <c r="J68" s="134"/>
      <c r="K68" s="130"/>
      <c r="L68" s="132"/>
      <c r="M68" s="135"/>
      <c r="N6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8"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8" s="108">
        <f>IF(Operations[[#This Row],[Calc List Price]]=0,0,IF(Operations[[#This Row],[Units per Hour]]*Operations[[#This Row],[Annual Use]]=0,0,(Operations[[#This Row],[Calc Beg Yr. Value]]-Operations[[#This Row],[Calc End Yr. Value]])/(Operations[[#This Row],[Annual Use]])))</f>
        <v>0</v>
      </c>
      <c r="S68" s="109">
        <f>IF(Operations[[#This Row],[Annual Use]]=0,0,Operations[[#This Row],[Calc Beg Yr. Value]]*'General Variables'!$B$7/Operations[[#This Row],[Annual Use]])</f>
        <v>0</v>
      </c>
      <c r="T68" s="109">
        <f>IF(Operations[[#This Row],[Annual Use]]=0,0,Operations[[#This Row],[Calc Beg Yr. Value]]*'General Variables'!$B$8/Operations[[#This Row],[Annual Use]])</f>
        <v>0</v>
      </c>
      <c r="U68" s="109">
        <f>SUM(Operations[[#This Row],[Depreciation per Unit]:[Opportunity Cost per Unit]])</f>
        <v>0</v>
      </c>
    </row>
    <row r="69" spans="1:21" ht="12.75" customHeight="1">
      <c r="A69" s="128"/>
      <c r="B69" s="129"/>
      <c r="C69" s="130"/>
      <c r="D69" s="130"/>
      <c r="E69" s="131"/>
      <c r="F69" s="132"/>
      <c r="G69" s="131"/>
      <c r="H69" s="131"/>
      <c r="I69" s="136"/>
      <c r="J69" s="134"/>
      <c r="K69" s="130"/>
      <c r="L69" s="132"/>
      <c r="M69" s="135"/>
      <c r="N6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08">
        <f>IF(Operations[[#This Row],[Calc List Price]]=0,0,IF(Operations[[#This Row],[Units per Hour]]*Operations[[#This Row],[Annual Use]]=0,0,(Operations[[#This Row],[Calc Beg Yr. Value]]-Operations[[#This Row],[Calc End Yr. Value]])/(Operations[[#This Row],[Annual Use]])))</f>
        <v>0</v>
      </c>
      <c r="S69" s="109">
        <f>IF(Operations[[#This Row],[Annual Use]]=0,0,Operations[[#This Row],[Calc Beg Yr. Value]]*'General Variables'!$B$7/Operations[[#This Row],[Annual Use]])</f>
        <v>0</v>
      </c>
      <c r="T69" s="109">
        <f>IF(Operations[[#This Row],[Annual Use]]=0,0,Operations[[#This Row],[Calc Beg Yr. Value]]*'General Variables'!$B$8/Operations[[#This Row],[Annual Use]])</f>
        <v>0</v>
      </c>
      <c r="U69" s="109">
        <f>SUM(Operations[[#This Row],[Depreciation per Unit]:[Opportunity Cost per Unit]])</f>
        <v>0</v>
      </c>
    </row>
    <row r="70" spans="1:21" ht="12.75" customHeight="1">
      <c r="A70" s="128"/>
      <c r="B70" s="129"/>
      <c r="C70" s="129"/>
      <c r="D70" s="129"/>
      <c r="E70" s="131"/>
      <c r="F70" s="132"/>
      <c r="G70" s="131">
        <v>5</v>
      </c>
      <c r="H70" s="131"/>
      <c r="I70" s="136" t="s">
        <v>392</v>
      </c>
      <c r="J70" s="134"/>
      <c r="K70" s="130"/>
      <c r="L70" s="132" t="s">
        <v>392</v>
      </c>
      <c r="M70" s="135"/>
      <c r="N7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08">
        <f>IF(Operations[[#This Row],[Calc List Price]]=0,0,IF(Operations[[#This Row],[Units per Hour]]*Operations[[#This Row],[Annual Use]]=0,0,(Operations[[#This Row],[Calc Beg Yr. Value]]-Operations[[#This Row],[Calc End Yr. Value]])/(Operations[[#This Row],[Annual Use]])))</f>
        <v>0</v>
      </c>
      <c r="S70" s="109">
        <f>IF(Operations[[#This Row],[Annual Use]]=0,0,Operations[[#This Row],[Calc Beg Yr. Value]]*'General Variables'!$B$7/Operations[[#This Row],[Annual Use]])</f>
        <v>0</v>
      </c>
      <c r="T70" s="109">
        <f>IF(Operations[[#This Row],[Annual Use]]=0,0,Operations[[#This Row],[Calc Beg Yr. Value]]*'General Variables'!$B$8/Operations[[#This Row],[Annual Use]])</f>
        <v>0</v>
      </c>
      <c r="U70" s="109">
        <f>SUM(Operations[[#This Row],[Depreciation per Unit]:[Opportunity Cost per Unit]])</f>
        <v>0</v>
      </c>
    </row>
    <row r="71" spans="1:21" ht="12.75" customHeight="1">
      <c r="A71" s="128"/>
      <c r="B71" s="129"/>
      <c r="C71" s="130"/>
      <c r="D71" s="130"/>
      <c r="E71" s="131"/>
      <c r="F71" s="132"/>
      <c r="G71" s="131"/>
      <c r="H71" s="131"/>
      <c r="I71" s="133"/>
      <c r="J71" s="134"/>
      <c r="K71" s="130"/>
      <c r="L71" s="132"/>
      <c r="M71" s="135"/>
      <c r="N7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08">
        <f>IF(Operations[[#This Row],[Calc List Price]]=0,0,IF(Operations[[#This Row],[Units per Hour]]*Operations[[#This Row],[Annual Use]]=0,0,(Operations[[#This Row],[Calc Beg Yr. Value]]-Operations[[#This Row],[Calc End Yr. Value]])/(Operations[[#This Row],[Annual Use]])))</f>
        <v>0</v>
      </c>
      <c r="S71" s="109">
        <f>IF(Operations[[#This Row],[Annual Use]]=0,0,Operations[[#This Row],[Calc Beg Yr. Value]]*'General Variables'!$B$7/Operations[[#This Row],[Annual Use]])</f>
        <v>0</v>
      </c>
      <c r="T71" s="109">
        <f>IF(Operations[[#This Row],[Annual Use]]=0,0,Operations[[#This Row],[Calc Beg Yr. Value]]*'General Variables'!$B$8/Operations[[#This Row],[Annual Use]])</f>
        <v>0</v>
      </c>
      <c r="U71" s="109">
        <f>SUM(Operations[[#This Row],[Depreciation per Unit]:[Opportunity Cost per Unit]])</f>
        <v>0</v>
      </c>
    </row>
    <row r="72" spans="1:21" ht="12.75" customHeight="1">
      <c r="A72" s="145"/>
      <c r="B72" s="146"/>
      <c r="C72" s="147"/>
      <c r="D72" s="147"/>
      <c r="E72" s="131"/>
      <c r="F72" s="132"/>
      <c r="G72" s="131"/>
      <c r="H72" s="131"/>
      <c r="I72" s="133"/>
      <c r="J72" s="134"/>
      <c r="K72" s="147"/>
      <c r="L72" s="132"/>
      <c r="M72" s="135"/>
      <c r="N7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08">
        <f>IF(Operations[[#This Row],[Calc List Price]]=0,0,IF(Operations[[#This Row],[Units per Hour]]*Operations[[#This Row],[Annual Use]]=0,0,(Operations[[#This Row],[Calc Beg Yr. Value]]-Operations[[#This Row],[Calc End Yr. Value]])/(Operations[[#This Row],[Annual Use]])))</f>
        <v>0</v>
      </c>
      <c r="S72" s="109">
        <f>IF(Operations[[#This Row],[Annual Use]]=0,0,Operations[[#This Row],[Calc Beg Yr. Value]]*'General Variables'!$B$7/Operations[[#This Row],[Annual Use]])</f>
        <v>0</v>
      </c>
      <c r="T72" s="109">
        <f>IF(Operations[[#This Row],[Annual Use]]=0,0,Operations[[#This Row],[Calc Beg Yr. Value]]*'General Variables'!$B$8/Operations[[#This Row],[Annual Use]])</f>
        <v>0</v>
      </c>
      <c r="U72" s="109">
        <f>SUM(Operations[[#This Row],[Depreciation per Unit]:[Opportunity Cost per Unit]])</f>
        <v>0</v>
      </c>
    </row>
    <row r="73" spans="1:21" ht="12.75" customHeight="1">
      <c r="A73" s="145"/>
      <c r="B73" s="146"/>
      <c r="C73" s="147"/>
      <c r="D73" s="147"/>
      <c r="E73" s="131"/>
      <c r="F73" s="132"/>
      <c r="G73" s="131"/>
      <c r="H73" s="131"/>
      <c r="I73" s="133"/>
      <c r="J73" s="134"/>
      <c r="K73" s="147"/>
      <c r="L73" s="132"/>
      <c r="M73" s="135"/>
      <c r="N7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08">
        <f>IF(Operations[[#This Row],[Calc List Price]]=0,0,IF(Operations[[#This Row],[Units per Hour]]*Operations[[#This Row],[Annual Use]]=0,0,(Operations[[#This Row],[Calc Beg Yr. Value]]-Operations[[#This Row],[Calc End Yr. Value]])/(Operations[[#This Row],[Annual Use]])))</f>
        <v>0</v>
      </c>
      <c r="S73" s="109">
        <f>IF(Operations[[#This Row],[Annual Use]]=0,0,Operations[[#This Row],[Calc Beg Yr. Value]]*'General Variables'!$B$7/Operations[[#This Row],[Annual Use]])</f>
        <v>0</v>
      </c>
      <c r="T73" s="109">
        <f>IF(Operations[[#This Row],[Annual Use]]=0,0,Operations[[#This Row],[Calc Beg Yr. Value]]*'General Variables'!$B$8/Operations[[#This Row],[Annual Use]])</f>
        <v>0</v>
      </c>
      <c r="U73" s="109">
        <f>SUM(Operations[[#This Row],[Depreciation per Unit]:[Opportunity Cost per Unit]])</f>
        <v>0</v>
      </c>
    </row>
    <row r="74" spans="1:21" ht="12.75" customHeight="1">
      <c r="A74" s="145"/>
      <c r="B74" s="146"/>
      <c r="C74" s="147"/>
      <c r="D74" s="147"/>
      <c r="E74" s="131"/>
      <c r="F74" s="132"/>
      <c r="G74" s="131"/>
      <c r="H74" s="131"/>
      <c r="I74" s="133"/>
      <c r="J74" s="134"/>
      <c r="K74" s="147"/>
      <c r="L74" s="132"/>
      <c r="M74" s="135"/>
      <c r="N7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08">
        <f>IF(Operations[[#This Row],[Calc List Price]]=0,0,IF(Operations[[#This Row],[Units per Hour]]*Operations[[#This Row],[Annual Use]]=0,0,(Operations[[#This Row],[Calc Beg Yr. Value]]-Operations[[#This Row],[Calc End Yr. Value]])/(Operations[[#This Row],[Annual Use]])))</f>
        <v>0</v>
      </c>
      <c r="S74" s="109">
        <f>IF(Operations[[#This Row],[Annual Use]]=0,0,Operations[[#This Row],[Calc Beg Yr. Value]]*'General Variables'!$B$7/Operations[[#This Row],[Annual Use]])</f>
        <v>0</v>
      </c>
      <c r="T74" s="109">
        <f>IF(Operations[[#This Row],[Annual Use]]=0,0,Operations[[#This Row],[Calc Beg Yr. Value]]*'General Variables'!$B$8/Operations[[#This Row],[Annual Use]])</f>
        <v>0</v>
      </c>
      <c r="U74" s="109">
        <f>SUM(Operations[[#This Row],[Depreciation per Unit]:[Opportunity Cost per Unit]])</f>
        <v>0</v>
      </c>
    </row>
    <row r="75" spans="1:21" ht="12.75" customHeight="1">
      <c r="A75" s="145"/>
      <c r="B75" s="146"/>
      <c r="C75" s="147"/>
      <c r="D75" s="147"/>
      <c r="E75" s="131"/>
      <c r="F75" s="132"/>
      <c r="G75" s="131"/>
      <c r="H75" s="131"/>
      <c r="I75" s="133"/>
      <c r="J75" s="134"/>
      <c r="K75" s="147"/>
      <c r="L75" s="132"/>
      <c r="M75" s="135"/>
      <c r="N7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08">
        <f>IF(Operations[[#This Row],[Calc List Price]]=0,0,IF(Operations[[#This Row],[Units per Hour]]*Operations[[#This Row],[Annual Use]]=0,0,(Operations[[#This Row],[Calc Beg Yr. Value]]-Operations[[#This Row],[Calc End Yr. Value]])/(Operations[[#This Row],[Annual Use]])))</f>
        <v>0</v>
      </c>
      <c r="S75" s="109">
        <f>IF(Operations[[#This Row],[Annual Use]]=0,0,Operations[[#This Row],[Calc Beg Yr. Value]]*'General Variables'!$B$7/Operations[[#This Row],[Annual Use]])</f>
        <v>0</v>
      </c>
      <c r="T75" s="109">
        <f>IF(Operations[[#This Row],[Annual Use]]=0,0,Operations[[#This Row],[Calc Beg Yr. Value]]*'General Variables'!$B$8/Operations[[#This Row],[Annual Use]])</f>
        <v>0</v>
      </c>
      <c r="U75" s="109">
        <f>SUM(Operations[[#This Row],[Depreciation per Unit]:[Opportunity Cost per Unit]])</f>
        <v>0</v>
      </c>
    </row>
    <row r="76" spans="1:21" ht="12.75" customHeight="1">
      <c r="A76" s="145"/>
      <c r="B76" s="146"/>
      <c r="C76" s="147"/>
      <c r="D76" s="147"/>
      <c r="E76" s="131"/>
      <c r="F76" s="132"/>
      <c r="G76" s="131"/>
      <c r="H76" s="131"/>
      <c r="I76" s="133"/>
      <c r="J76" s="134"/>
      <c r="K76" s="147"/>
      <c r="L76" s="132"/>
      <c r="M76" s="135"/>
      <c r="N7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08">
        <f>IF(Operations[[#This Row],[Calc List Price]]=0,0,IF(Operations[[#This Row],[Units per Hour]]*Operations[[#This Row],[Annual Use]]=0,0,(Operations[[#This Row],[Calc Beg Yr. Value]]-Operations[[#This Row],[Calc End Yr. Value]])/(Operations[[#This Row],[Annual Use]])))</f>
        <v>0</v>
      </c>
      <c r="S76" s="109">
        <f>IF(Operations[[#This Row],[Annual Use]]=0,0,Operations[[#This Row],[Calc Beg Yr. Value]]*'General Variables'!$B$7/Operations[[#This Row],[Annual Use]])</f>
        <v>0</v>
      </c>
      <c r="T76" s="109">
        <f>IF(Operations[[#This Row],[Annual Use]]=0,0,Operations[[#This Row],[Calc Beg Yr. Value]]*'General Variables'!$B$8/Operations[[#This Row],[Annual Use]])</f>
        <v>0</v>
      </c>
      <c r="U76" s="109">
        <f>SUM(Operations[[#This Row],[Depreciation per Unit]:[Opportunity Cost per Unit]])</f>
        <v>0</v>
      </c>
    </row>
    <row r="77" spans="1:21" ht="12.75" customHeight="1">
      <c r="A77" s="145"/>
      <c r="B77" s="146"/>
      <c r="C77" s="147"/>
      <c r="D77" s="147"/>
      <c r="E77" s="131"/>
      <c r="F77" s="132"/>
      <c r="G77" s="131"/>
      <c r="H77" s="131"/>
      <c r="I77" s="133"/>
      <c r="J77" s="134"/>
      <c r="K77" s="147"/>
      <c r="L77" s="132"/>
      <c r="M77" s="135"/>
      <c r="N7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08">
        <f>IF(Operations[[#This Row],[Calc List Price]]=0,0,IF(Operations[[#This Row],[Units per Hour]]*Operations[[#This Row],[Annual Use]]=0,0,(Operations[[#This Row],[Calc Beg Yr. Value]]-Operations[[#This Row],[Calc End Yr. Value]])/(Operations[[#This Row],[Annual Use]])))</f>
        <v>0</v>
      </c>
      <c r="S77" s="109">
        <f>IF(Operations[[#This Row],[Annual Use]]=0,0,Operations[[#This Row],[Calc Beg Yr. Value]]*'General Variables'!$B$7/Operations[[#This Row],[Annual Use]])</f>
        <v>0</v>
      </c>
      <c r="T77" s="109">
        <f>IF(Operations[[#This Row],[Annual Use]]=0,0,Operations[[#This Row],[Calc Beg Yr. Value]]*'General Variables'!$B$8/Operations[[#This Row],[Annual Use]])</f>
        <v>0</v>
      </c>
      <c r="U77" s="109">
        <f>SUM(Operations[[#This Row],[Depreciation per Unit]:[Opportunity Cost per Unit]])</f>
        <v>0</v>
      </c>
    </row>
    <row r="78" spans="1:21" ht="12.75" customHeight="1">
      <c r="A78" s="145"/>
      <c r="B78" s="146"/>
      <c r="C78" s="147"/>
      <c r="D78" s="147"/>
      <c r="E78" s="131"/>
      <c r="F78" s="132"/>
      <c r="G78" s="131"/>
      <c r="H78" s="131"/>
      <c r="I78" s="133"/>
      <c r="J78" s="134"/>
      <c r="K78" s="147"/>
      <c r="L78" s="132"/>
      <c r="M78" s="135"/>
      <c r="N7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08">
        <f>IF(Operations[[#This Row],[Calc List Price]]=0,0,IF(Operations[[#This Row],[Units per Hour]]*Operations[[#This Row],[Annual Use]]=0,0,(Operations[[#This Row],[Calc Beg Yr. Value]]-Operations[[#This Row],[Calc End Yr. Value]])/(Operations[[#This Row],[Annual Use]])))</f>
        <v>0</v>
      </c>
      <c r="S78" s="109">
        <f>IF(Operations[[#This Row],[Annual Use]]=0,0,Operations[[#This Row],[Calc Beg Yr. Value]]*'General Variables'!$B$7/Operations[[#This Row],[Annual Use]])</f>
        <v>0</v>
      </c>
      <c r="T78" s="109">
        <f>IF(Operations[[#This Row],[Annual Use]]=0,0,Operations[[#This Row],[Calc Beg Yr. Value]]*'General Variables'!$B$8/Operations[[#This Row],[Annual Use]])</f>
        <v>0</v>
      </c>
      <c r="U78" s="109">
        <f>SUM(Operations[[#This Row],[Depreciation per Unit]:[Opportunity Cost per Unit]])</f>
        <v>0</v>
      </c>
    </row>
    <row r="79" spans="1:21" ht="12.75" customHeight="1">
      <c r="A79" s="145"/>
      <c r="B79" s="146"/>
      <c r="C79" s="147"/>
      <c r="D79" s="147"/>
      <c r="E79" s="131"/>
      <c r="F79" s="132"/>
      <c r="G79" s="131"/>
      <c r="H79" s="131"/>
      <c r="I79" s="133"/>
      <c r="J79" s="134"/>
      <c r="K79" s="147"/>
      <c r="L79" s="132"/>
      <c r="M79" s="135"/>
      <c r="N7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08">
        <f>IF(Operations[[#This Row],[Calc List Price]]=0,0,IF(Operations[[#This Row],[Units per Hour]]*Operations[[#This Row],[Annual Use]]=0,0,(Operations[[#This Row],[Calc Beg Yr. Value]]-Operations[[#This Row],[Calc End Yr. Value]])/(Operations[[#This Row],[Annual Use]])))</f>
        <v>0</v>
      </c>
      <c r="S79" s="109">
        <f>IF(Operations[[#This Row],[Annual Use]]=0,0,Operations[[#This Row],[Calc Beg Yr. Value]]*'General Variables'!$B$7/Operations[[#This Row],[Annual Use]])</f>
        <v>0</v>
      </c>
      <c r="T79" s="109">
        <f>IF(Operations[[#This Row],[Annual Use]]=0,0,Operations[[#This Row],[Calc Beg Yr. Value]]*'General Variables'!$B$8/Operations[[#This Row],[Annual Use]])</f>
        <v>0</v>
      </c>
      <c r="U79" s="109">
        <f>SUM(Operations[[#This Row],[Depreciation per Unit]:[Opportunity Cost per Unit]])</f>
        <v>0</v>
      </c>
    </row>
    <row r="80" spans="1:21" ht="12.75" customHeight="1">
      <c r="A80" s="145"/>
      <c r="B80" s="146"/>
      <c r="C80" s="147"/>
      <c r="D80" s="147"/>
      <c r="E80" s="131"/>
      <c r="F80" s="132"/>
      <c r="G80" s="131"/>
      <c r="H80" s="131"/>
      <c r="I80" s="133"/>
      <c r="J80" s="134"/>
      <c r="K80" s="147"/>
      <c r="L80" s="132"/>
      <c r="M80" s="135"/>
      <c r="N8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08">
        <f>IF(Operations[[#This Row],[Calc List Price]]=0,0,IF(Operations[[#This Row],[Units per Hour]]*Operations[[#This Row],[Annual Use]]=0,0,(Operations[[#This Row],[Calc Beg Yr. Value]]-Operations[[#This Row],[Calc End Yr. Value]])/(Operations[[#This Row],[Annual Use]])))</f>
        <v>0</v>
      </c>
      <c r="S80" s="109">
        <f>IF(Operations[[#This Row],[Annual Use]]=0,0,Operations[[#This Row],[Calc Beg Yr. Value]]*'General Variables'!$B$7/Operations[[#This Row],[Annual Use]])</f>
        <v>0</v>
      </c>
      <c r="T80" s="109">
        <f>IF(Operations[[#This Row],[Annual Use]]=0,0,Operations[[#This Row],[Calc Beg Yr. Value]]*'General Variables'!$B$8/Operations[[#This Row],[Annual Use]])</f>
        <v>0</v>
      </c>
      <c r="U80" s="109">
        <f>SUM(Operations[[#This Row],[Depreciation per Unit]:[Opportunity Cost per Unit]])</f>
        <v>0</v>
      </c>
    </row>
    <row r="81" spans="1:21" ht="12.75" customHeight="1">
      <c r="A81" s="145"/>
      <c r="B81" s="146"/>
      <c r="C81" s="147"/>
      <c r="D81" s="147"/>
      <c r="E81" s="131"/>
      <c r="F81" s="132"/>
      <c r="G81" s="131"/>
      <c r="H81" s="131"/>
      <c r="I81" s="133"/>
      <c r="J81" s="134"/>
      <c r="K81" s="147"/>
      <c r="L81" s="132"/>
      <c r="M81" s="135"/>
      <c r="N8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08">
        <f>IF(Operations[[#This Row],[Calc List Price]]=0,0,IF(Operations[[#This Row],[Units per Hour]]*Operations[[#This Row],[Annual Use]]=0,0,(Operations[[#This Row],[Calc Beg Yr. Value]]-Operations[[#This Row],[Calc End Yr. Value]])/(Operations[[#This Row],[Annual Use]])))</f>
        <v>0</v>
      </c>
      <c r="S81" s="109">
        <f>IF(Operations[[#This Row],[Annual Use]]=0,0,Operations[[#This Row],[Calc Beg Yr. Value]]*'General Variables'!$B$7/Operations[[#This Row],[Annual Use]])</f>
        <v>0</v>
      </c>
      <c r="T81" s="109">
        <f>IF(Operations[[#This Row],[Annual Use]]=0,0,Operations[[#This Row],[Calc Beg Yr. Value]]*'General Variables'!$B$8/Operations[[#This Row],[Annual Use]])</f>
        <v>0</v>
      </c>
      <c r="U81" s="109">
        <f>SUM(Operations[[#This Row],[Depreciation per Unit]:[Opportunity Cost per Unit]])</f>
        <v>0</v>
      </c>
    </row>
    <row r="82" spans="1:21" ht="12.75" customHeight="1">
      <c r="A82" s="145"/>
      <c r="B82" s="146"/>
      <c r="C82" s="147"/>
      <c r="D82" s="147"/>
      <c r="E82" s="131"/>
      <c r="F82" s="132"/>
      <c r="G82" s="131"/>
      <c r="H82" s="131"/>
      <c r="I82" s="133"/>
      <c r="J82" s="134"/>
      <c r="K82" s="147"/>
      <c r="L82" s="132"/>
      <c r="M82" s="135"/>
      <c r="N8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08">
        <f>IF(Operations[[#This Row],[Calc List Price]]=0,0,IF(Operations[[#This Row],[Units per Hour]]*Operations[[#This Row],[Annual Use]]=0,0,(Operations[[#This Row],[Calc Beg Yr. Value]]-Operations[[#This Row],[Calc End Yr. Value]])/(Operations[[#This Row],[Annual Use]])))</f>
        <v>0</v>
      </c>
      <c r="S82" s="109">
        <f>IF(Operations[[#This Row],[Annual Use]]=0,0,Operations[[#This Row],[Calc Beg Yr. Value]]*'General Variables'!$B$7/Operations[[#This Row],[Annual Use]])</f>
        <v>0</v>
      </c>
      <c r="T82" s="109">
        <f>IF(Operations[[#This Row],[Annual Use]]=0,0,Operations[[#This Row],[Calc Beg Yr. Value]]*'General Variables'!$B$8/Operations[[#This Row],[Annual Use]])</f>
        <v>0</v>
      </c>
      <c r="U82" s="109">
        <f>SUM(Operations[[#This Row],[Depreciation per Unit]:[Opportunity Cost per Unit]])</f>
        <v>0</v>
      </c>
    </row>
    <row r="83" spans="1:21" ht="12.75" customHeight="1">
      <c r="A83" s="145"/>
      <c r="B83" s="146"/>
      <c r="C83" s="147"/>
      <c r="D83" s="147"/>
      <c r="E83" s="131"/>
      <c r="F83" s="132"/>
      <c r="G83" s="131"/>
      <c r="H83" s="131"/>
      <c r="I83" s="133"/>
      <c r="J83" s="134"/>
      <c r="K83" s="147"/>
      <c r="L83" s="132"/>
      <c r="M83" s="135"/>
      <c r="N8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08">
        <f>IF(Operations[[#This Row],[Calc List Price]]=0,0,IF(Operations[[#This Row],[Units per Hour]]*Operations[[#This Row],[Annual Use]]=0,0,(Operations[[#This Row],[Calc Beg Yr. Value]]-Operations[[#This Row],[Calc End Yr. Value]])/(Operations[[#This Row],[Annual Use]])))</f>
        <v>0</v>
      </c>
      <c r="S83" s="109">
        <f>IF(Operations[[#This Row],[Annual Use]]=0,0,Operations[[#This Row],[Calc Beg Yr. Value]]*'General Variables'!$B$7/Operations[[#This Row],[Annual Use]])</f>
        <v>0</v>
      </c>
      <c r="T83" s="109">
        <f>IF(Operations[[#This Row],[Annual Use]]=0,0,Operations[[#This Row],[Calc Beg Yr. Value]]*'General Variables'!$B$8/Operations[[#This Row],[Annual Use]])</f>
        <v>0</v>
      </c>
      <c r="U83" s="109">
        <f>SUM(Operations[[#This Row],[Depreciation per Unit]:[Opportunity Cost per Unit]])</f>
        <v>0</v>
      </c>
    </row>
    <row r="84" spans="1:21" ht="12.75" customHeight="1">
      <c r="A84" s="145"/>
      <c r="B84" s="146"/>
      <c r="C84" s="147"/>
      <c r="D84" s="147"/>
      <c r="E84" s="131"/>
      <c r="F84" s="132"/>
      <c r="G84" s="131"/>
      <c r="H84" s="131"/>
      <c r="I84" s="133"/>
      <c r="J84" s="134"/>
      <c r="K84" s="147"/>
      <c r="L84" s="132"/>
      <c r="M84" s="135"/>
      <c r="N8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08">
        <f>IF(Operations[[#This Row],[Calc List Price]]=0,0,IF(Operations[[#This Row],[Units per Hour]]*Operations[[#This Row],[Annual Use]]=0,0,(Operations[[#This Row],[Calc Beg Yr. Value]]-Operations[[#This Row],[Calc End Yr. Value]])/(Operations[[#This Row],[Annual Use]])))</f>
        <v>0</v>
      </c>
      <c r="S84" s="109">
        <f>IF(Operations[[#This Row],[Annual Use]]=0,0,Operations[[#This Row],[Calc Beg Yr. Value]]*'General Variables'!$B$7/Operations[[#This Row],[Annual Use]])</f>
        <v>0</v>
      </c>
      <c r="T84" s="109">
        <f>IF(Operations[[#This Row],[Annual Use]]=0,0,Operations[[#This Row],[Calc Beg Yr. Value]]*'General Variables'!$B$8/Operations[[#This Row],[Annual Use]])</f>
        <v>0</v>
      </c>
      <c r="U84" s="109">
        <f>SUM(Operations[[#This Row],[Depreciation per Unit]:[Opportunity Cost per Unit]])</f>
        <v>0</v>
      </c>
    </row>
    <row r="85" spans="1:21" ht="12.75" customHeight="1">
      <c r="A85" s="145"/>
      <c r="B85" s="146"/>
      <c r="C85" s="147"/>
      <c r="D85" s="147"/>
      <c r="E85" s="131"/>
      <c r="F85" s="132"/>
      <c r="G85" s="131"/>
      <c r="H85" s="131"/>
      <c r="I85" s="133"/>
      <c r="J85" s="134"/>
      <c r="K85" s="147"/>
      <c r="L85" s="132"/>
      <c r="M85" s="135"/>
      <c r="N8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08">
        <f>IF(Operations[[#This Row],[Calc List Price]]=0,0,IF(Operations[[#This Row],[Units per Hour]]*Operations[[#This Row],[Annual Use]]=0,0,(Operations[[#This Row],[Calc Beg Yr. Value]]-Operations[[#This Row],[Calc End Yr. Value]])/(Operations[[#This Row],[Annual Use]])))</f>
        <v>0</v>
      </c>
      <c r="S85" s="109">
        <f>IF(Operations[[#This Row],[Annual Use]]=0,0,Operations[[#This Row],[Calc Beg Yr. Value]]*'General Variables'!$B$7/Operations[[#This Row],[Annual Use]])</f>
        <v>0</v>
      </c>
      <c r="T85" s="109">
        <f>IF(Operations[[#This Row],[Annual Use]]=0,0,Operations[[#This Row],[Calc Beg Yr. Value]]*'General Variables'!$B$8/Operations[[#This Row],[Annual Use]])</f>
        <v>0</v>
      </c>
      <c r="U85" s="109">
        <f>SUM(Operations[[#This Row],[Depreciation per Unit]:[Opportunity Cost per Unit]])</f>
        <v>0</v>
      </c>
    </row>
    <row r="86" spans="1:21" ht="12.75" customHeight="1">
      <c r="A86" s="145"/>
      <c r="B86" s="146"/>
      <c r="C86" s="147"/>
      <c r="D86" s="147"/>
      <c r="E86" s="131"/>
      <c r="F86" s="132"/>
      <c r="G86" s="131"/>
      <c r="H86" s="131"/>
      <c r="I86" s="133"/>
      <c r="J86" s="134"/>
      <c r="K86" s="147"/>
      <c r="L86" s="132"/>
      <c r="M86" s="135"/>
      <c r="N8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08">
        <f>IF(Operations[[#This Row],[Calc List Price]]=0,0,IF(Operations[[#This Row],[Units per Hour]]*Operations[[#This Row],[Annual Use]]=0,0,(Operations[[#This Row],[Calc Beg Yr. Value]]-Operations[[#This Row],[Calc End Yr. Value]])/(Operations[[#This Row],[Annual Use]])))</f>
        <v>0</v>
      </c>
      <c r="S86" s="109">
        <f>IF(Operations[[#This Row],[Annual Use]]=0,0,Operations[[#This Row],[Calc Beg Yr. Value]]*'General Variables'!$B$7/Operations[[#This Row],[Annual Use]])</f>
        <v>0</v>
      </c>
      <c r="T86" s="109">
        <f>IF(Operations[[#This Row],[Annual Use]]=0,0,Operations[[#This Row],[Calc Beg Yr. Value]]*'General Variables'!$B$8/Operations[[#This Row],[Annual Use]])</f>
        <v>0</v>
      </c>
      <c r="U86" s="109">
        <f>SUM(Operations[[#This Row],[Depreciation per Unit]:[Opportunity Cost per Unit]])</f>
        <v>0</v>
      </c>
    </row>
    <row r="87" spans="1:21" ht="12.75" customHeight="1">
      <c r="A87" s="145"/>
      <c r="B87" s="146"/>
      <c r="C87" s="147"/>
      <c r="D87" s="147"/>
      <c r="E87" s="131"/>
      <c r="F87" s="132"/>
      <c r="G87" s="131"/>
      <c r="H87" s="131"/>
      <c r="I87" s="133"/>
      <c r="J87" s="134"/>
      <c r="K87" s="147"/>
      <c r="L87" s="132"/>
      <c r="M87" s="135"/>
      <c r="N8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08">
        <f>IF(Operations[[#This Row],[Calc List Price]]=0,0,IF(Operations[[#This Row],[Units per Hour]]*Operations[[#This Row],[Annual Use]]=0,0,(Operations[[#This Row],[Calc Beg Yr. Value]]-Operations[[#This Row],[Calc End Yr. Value]])/(Operations[[#This Row],[Annual Use]])))</f>
        <v>0</v>
      </c>
      <c r="S87" s="109">
        <f>IF(Operations[[#This Row],[Annual Use]]=0,0,Operations[[#This Row],[Calc Beg Yr. Value]]*'General Variables'!$B$7/Operations[[#This Row],[Annual Use]])</f>
        <v>0</v>
      </c>
      <c r="T87" s="109">
        <f>IF(Operations[[#This Row],[Annual Use]]=0,0,Operations[[#This Row],[Calc Beg Yr. Value]]*'General Variables'!$B$8/Operations[[#This Row],[Annual Use]])</f>
        <v>0</v>
      </c>
      <c r="U87" s="109">
        <f>SUM(Operations[[#This Row],[Depreciation per Unit]:[Opportunity Cost per Unit]])</f>
        <v>0</v>
      </c>
    </row>
    <row r="88" spans="1:21" ht="12.75" customHeight="1">
      <c r="A88" s="145"/>
      <c r="B88" s="146"/>
      <c r="C88" s="147"/>
      <c r="D88" s="147"/>
      <c r="E88" s="131"/>
      <c r="F88" s="132"/>
      <c r="G88" s="131"/>
      <c r="H88" s="131"/>
      <c r="I88" s="133"/>
      <c r="J88" s="134"/>
      <c r="K88" s="147"/>
      <c r="L88" s="132"/>
      <c r="M88" s="135"/>
      <c r="N88"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08">
        <f>IF(Operations[[#This Row],[Calc List Price]]=0,0,IF(Operations[[#This Row],[Units per Hour]]*Operations[[#This Row],[Annual Use]]=0,0,(Operations[[#This Row],[Calc Beg Yr. Value]]-Operations[[#This Row],[Calc End Yr. Value]])/(Operations[[#This Row],[Annual Use]])))</f>
        <v>0</v>
      </c>
      <c r="S88" s="109">
        <f>IF(Operations[[#This Row],[Annual Use]]=0,0,Operations[[#This Row],[Calc Beg Yr. Value]]*'General Variables'!$B$7/Operations[[#This Row],[Annual Use]])</f>
        <v>0</v>
      </c>
      <c r="T88" s="109">
        <f>IF(Operations[[#This Row],[Annual Use]]=0,0,Operations[[#This Row],[Calc Beg Yr. Value]]*'General Variables'!$B$8/Operations[[#This Row],[Annual Use]])</f>
        <v>0</v>
      </c>
      <c r="U88" s="109">
        <f>SUM(Operations[[#This Row],[Depreciation per Unit]:[Opportunity Cost per Unit]])</f>
        <v>0</v>
      </c>
    </row>
    <row r="89" spans="1:21" ht="12.75" customHeight="1">
      <c r="A89" s="145"/>
      <c r="B89" s="146"/>
      <c r="C89" s="147"/>
      <c r="D89" s="147"/>
      <c r="E89" s="131"/>
      <c r="F89" s="132"/>
      <c r="G89" s="131"/>
      <c r="H89" s="131"/>
      <c r="I89" s="133"/>
      <c r="J89" s="134"/>
      <c r="K89" s="147"/>
      <c r="L89" s="132"/>
      <c r="M89" s="135"/>
      <c r="N89"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08">
        <f>IF(Operations[[#This Row],[Calc List Price]]=0,0,IF(Operations[[#This Row],[Units per Hour]]*Operations[[#This Row],[Annual Use]]=0,0,(Operations[[#This Row],[Calc Beg Yr. Value]]-Operations[[#This Row],[Calc End Yr. Value]])/(Operations[[#This Row],[Annual Use]])))</f>
        <v>0</v>
      </c>
      <c r="S89" s="109">
        <f>IF(Operations[[#This Row],[Annual Use]]=0,0,Operations[[#This Row],[Calc Beg Yr. Value]]*'General Variables'!$B$7/Operations[[#This Row],[Annual Use]])</f>
        <v>0</v>
      </c>
      <c r="T89" s="109">
        <f>IF(Operations[[#This Row],[Annual Use]]=0,0,Operations[[#This Row],[Calc Beg Yr. Value]]*'General Variables'!$B$8/Operations[[#This Row],[Annual Use]])</f>
        <v>0</v>
      </c>
      <c r="U89" s="109">
        <f>SUM(Operations[[#This Row],[Depreciation per Unit]:[Opportunity Cost per Unit]])</f>
        <v>0</v>
      </c>
    </row>
    <row r="90" spans="1:21" ht="12.75" customHeight="1">
      <c r="A90" s="145"/>
      <c r="B90" s="146"/>
      <c r="C90" s="147"/>
      <c r="D90" s="147"/>
      <c r="E90" s="131"/>
      <c r="F90" s="132"/>
      <c r="G90" s="131"/>
      <c r="H90" s="131"/>
      <c r="I90" s="133"/>
      <c r="J90" s="134"/>
      <c r="K90" s="147"/>
      <c r="L90" s="132"/>
      <c r="M90" s="135"/>
      <c r="N9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08">
        <f>IF(Operations[[#This Row],[Calc List Price]]=0,0,IF(Operations[[#This Row],[Units per Hour]]*Operations[[#This Row],[Annual Use]]=0,0,(Operations[[#This Row],[Calc Beg Yr. Value]]-Operations[[#This Row],[Calc End Yr. Value]])/(Operations[[#This Row],[Annual Use]])))</f>
        <v>0</v>
      </c>
      <c r="S90" s="109">
        <f>IF(Operations[[#This Row],[Annual Use]]=0,0,Operations[[#This Row],[Calc Beg Yr. Value]]*'General Variables'!$B$7/Operations[[#This Row],[Annual Use]])</f>
        <v>0</v>
      </c>
      <c r="T90" s="109">
        <f>IF(Operations[[#This Row],[Annual Use]]=0,0,Operations[[#This Row],[Calc Beg Yr. Value]]*'General Variables'!$B$8/Operations[[#This Row],[Annual Use]])</f>
        <v>0</v>
      </c>
      <c r="U90" s="109">
        <f>SUM(Operations[[#This Row],[Depreciation per Unit]:[Opportunity Cost per Unit]])</f>
        <v>0</v>
      </c>
    </row>
    <row r="91" spans="1:21" ht="12.75" customHeight="1">
      <c r="A91" s="145"/>
      <c r="B91" s="146"/>
      <c r="C91" s="147"/>
      <c r="D91" s="147"/>
      <c r="E91" s="131"/>
      <c r="F91" s="132"/>
      <c r="G91" s="131"/>
      <c r="H91" s="131"/>
      <c r="I91" s="133"/>
      <c r="J91" s="134"/>
      <c r="K91" s="147"/>
      <c r="L91" s="132"/>
      <c r="M91" s="135"/>
      <c r="N9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08">
        <f>IF(Operations[[#This Row],[Calc List Price]]=0,0,IF(Operations[[#This Row],[Units per Hour]]*Operations[[#This Row],[Annual Use]]=0,0,(Operations[[#This Row],[Calc Beg Yr. Value]]-Operations[[#This Row],[Calc End Yr. Value]])/(Operations[[#This Row],[Annual Use]])))</f>
        <v>0</v>
      </c>
      <c r="S91" s="109">
        <f>IF(Operations[[#This Row],[Annual Use]]=0,0,Operations[[#This Row],[Calc Beg Yr. Value]]*'General Variables'!$B$7/Operations[[#This Row],[Annual Use]])</f>
        <v>0</v>
      </c>
      <c r="T91" s="109">
        <f>IF(Operations[[#This Row],[Annual Use]]=0,0,Operations[[#This Row],[Calc Beg Yr. Value]]*'General Variables'!$B$8/Operations[[#This Row],[Annual Use]])</f>
        <v>0</v>
      </c>
      <c r="U91" s="109">
        <f>SUM(Operations[[#This Row],[Depreciation per Unit]:[Opportunity Cost per Unit]])</f>
        <v>0</v>
      </c>
    </row>
    <row r="92" spans="1:21" ht="12.75" customHeight="1">
      <c r="A92" s="145"/>
      <c r="B92" s="146"/>
      <c r="C92" s="147"/>
      <c r="D92" s="147"/>
      <c r="E92" s="131"/>
      <c r="F92" s="132"/>
      <c r="G92" s="131"/>
      <c r="H92" s="131"/>
      <c r="I92" s="133"/>
      <c r="J92" s="134"/>
      <c r="K92" s="147"/>
      <c r="L92" s="132"/>
      <c r="M92" s="135"/>
      <c r="N92"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08">
        <f>IF(Operations[[#This Row],[Calc List Price]]=0,0,IF(Operations[[#This Row],[Units per Hour]]*Operations[[#This Row],[Annual Use]]=0,0,(Operations[[#This Row],[Calc Beg Yr. Value]]-Operations[[#This Row],[Calc End Yr. Value]])/(Operations[[#This Row],[Annual Use]])))</f>
        <v>0</v>
      </c>
      <c r="S92" s="109">
        <f>IF(Operations[[#This Row],[Annual Use]]=0,0,Operations[[#This Row],[Calc Beg Yr. Value]]*'General Variables'!$B$7/Operations[[#This Row],[Annual Use]])</f>
        <v>0</v>
      </c>
      <c r="T92" s="109">
        <f>IF(Operations[[#This Row],[Annual Use]]=0,0,Operations[[#This Row],[Calc Beg Yr. Value]]*'General Variables'!$B$8/Operations[[#This Row],[Annual Use]])</f>
        <v>0</v>
      </c>
      <c r="U92" s="109">
        <f>SUM(Operations[[#This Row],[Depreciation per Unit]:[Opportunity Cost per Unit]])</f>
        <v>0</v>
      </c>
    </row>
    <row r="93" spans="1:21" ht="12.75" customHeight="1">
      <c r="A93" s="145"/>
      <c r="B93" s="146"/>
      <c r="C93" s="147"/>
      <c r="D93" s="147"/>
      <c r="E93" s="131"/>
      <c r="F93" s="132"/>
      <c r="G93" s="131"/>
      <c r="H93" s="131"/>
      <c r="I93" s="133"/>
      <c r="J93" s="134"/>
      <c r="K93" s="147"/>
      <c r="L93" s="132"/>
      <c r="M93" s="135"/>
      <c r="N93"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08">
        <f>IF(Operations[[#This Row],[Calc List Price]]=0,0,IF(Operations[[#This Row],[Units per Hour]]*Operations[[#This Row],[Annual Use]]=0,0,(Operations[[#This Row],[Calc Beg Yr. Value]]-Operations[[#This Row],[Calc End Yr. Value]])/(Operations[[#This Row],[Annual Use]])))</f>
        <v>0</v>
      </c>
      <c r="S93" s="109">
        <f>IF(Operations[[#This Row],[Annual Use]]=0,0,Operations[[#This Row],[Calc Beg Yr. Value]]*'General Variables'!$B$7/Operations[[#This Row],[Annual Use]])</f>
        <v>0</v>
      </c>
      <c r="T93" s="109">
        <f>IF(Operations[[#This Row],[Annual Use]]=0,0,Operations[[#This Row],[Calc Beg Yr. Value]]*'General Variables'!$B$8/Operations[[#This Row],[Annual Use]])</f>
        <v>0</v>
      </c>
      <c r="U93" s="109">
        <f>SUM(Operations[[#This Row],[Depreciation per Unit]:[Opportunity Cost per Unit]])</f>
        <v>0</v>
      </c>
    </row>
    <row r="94" spans="1:21" ht="12.75" customHeight="1">
      <c r="A94" s="145"/>
      <c r="B94" s="146"/>
      <c r="C94" s="147"/>
      <c r="D94" s="147"/>
      <c r="E94" s="131"/>
      <c r="F94" s="132"/>
      <c r="G94" s="131"/>
      <c r="H94" s="131"/>
      <c r="I94" s="133"/>
      <c r="J94" s="134"/>
      <c r="K94" s="147"/>
      <c r="L94" s="132"/>
      <c r="M94" s="135"/>
      <c r="N94"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08">
        <f>IF(Operations[[#This Row],[Calc List Price]]=0,0,IF(Operations[[#This Row],[Units per Hour]]*Operations[[#This Row],[Annual Use]]=0,0,(Operations[[#This Row],[Calc Beg Yr. Value]]-Operations[[#This Row],[Calc End Yr. Value]])/(Operations[[#This Row],[Annual Use]])))</f>
        <v>0</v>
      </c>
      <c r="S94" s="109">
        <f>IF(Operations[[#This Row],[Annual Use]]=0,0,Operations[[#This Row],[Calc Beg Yr. Value]]*'General Variables'!$B$7/Operations[[#This Row],[Annual Use]])</f>
        <v>0</v>
      </c>
      <c r="T94" s="109">
        <f>IF(Operations[[#This Row],[Annual Use]]=0,0,Operations[[#This Row],[Calc Beg Yr. Value]]*'General Variables'!$B$8/Operations[[#This Row],[Annual Use]])</f>
        <v>0</v>
      </c>
      <c r="U94" s="109">
        <f>SUM(Operations[[#This Row],[Depreciation per Unit]:[Opportunity Cost per Unit]])</f>
        <v>0</v>
      </c>
    </row>
    <row r="95" spans="1:21" ht="12.75" customHeight="1">
      <c r="A95" s="145"/>
      <c r="B95" s="146"/>
      <c r="C95" s="147"/>
      <c r="D95" s="147"/>
      <c r="E95" s="131"/>
      <c r="F95" s="132"/>
      <c r="G95" s="131"/>
      <c r="H95" s="131"/>
      <c r="I95" s="133"/>
      <c r="J95" s="134"/>
      <c r="K95" s="147"/>
      <c r="L95" s="132"/>
      <c r="M95" s="135"/>
      <c r="N95"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08">
        <f>IF(Operations[[#This Row],[Calc List Price]]=0,0,IF(Operations[[#This Row],[Units per Hour]]*Operations[[#This Row],[Annual Use]]=0,0,(Operations[[#This Row],[Calc Beg Yr. Value]]-Operations[[#This Row],[Calc End Yr. Value]])/(Operations[[#This Row],[Annual Use]])))</f>
        <v>0</v>
      </c>
      <c r="S95" s="109">
        <f>IF(Operations[[#This Row],[Annual Use]]=0,0,Operations[[#This Row],[Calc Beg Yr. Value]]*'General Variables'!$B$7/Operations[[#This Row],[Annual Use]])</f>
        <v>0</v>
      </c>
      <c r="T95" s="109">
        <f>IF(Operations[[#This Row],[Annual Use]]=0,0,Operations[[#This Row],[Calc Beg Yr. Value]]*'General Variables'!$B$8/Operations[[#This Row],[Annual Use]])</f>
        <v>0</v>
      </c>
      <c r="U95" s="109">
        <f>SUM(Operations[[#This Row],[Depreciation per Unit]:[Opportunity Cost per Unit]])</f>
        <v>0</v>
      </c>
    </row>
    <row r="96" spans="1:21" ht="12.75" customHeight="1">
      <c r="A96" s="145"/>
      <c r="B96" s="146"/>
      <c r="C96" s="147"/>
      <c r="D96" s="147"/>
      <c r="E96" s="131"/>
      <c r="F96" s="132"/>
      <c r="G96" s="131"/>
      <c r="H96" s="131"/>
      <c r="I96" s="133"/>
      <c r="J96" s="134"/>
      <c r="K96" s="147"/>
      <c r="L96" s="132"/>
      <c r="M96" s="148"/>
      <c r="N96"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08">
        <f>IF(Operations[[#This Row],[Calc List Price]]=0,0,IF(Operations[[#This Row],[Units per Hour]]*Operations[[#This Row],[Annual Use]]=0,0,(Operations[[#This Row],[Calc Beg Yr. Value]]-Operations[[#This Row],[Calc End Yr. Value]])/(Operations[[#This Row],[Annual Use]])))</f>
        <v>0</v>
      </c>
      <c r="S96" s="109">
        <f>IF(Operations[[#This Row],[Annual Use]]=0,0,Operations[[#This Row],[Calc Beg Yr. Value]]*'General Variables'!$B$7/Operations[[#This Row],[Annual Use]])</f>
        <v>0</v>
      </c>
      <c r="T96" s="109">
        <f>IF(Operations[[#This Row],[Annual Use]]=0,0,Operations[[#This Row],[Calc Beg Yr. Value]]*'General Variables'!$B$8/Operations[[#This Row],[Annual Use]])</f>
        <v>0</v>
      </c>
      <c r="U96" s="109">
        <f>SUM(Operations[[#This Row],[Depreciation per Unit]:[Opportunity Cost per Unit]])</f>
        <v>0</v>
      </c>
    </row>
    <row r="97" spans="1:21" ht="12.75" customHeight="1">
      <c r="A97" s="145"/>
      <c r="B97" s="146"/>
      <c r="C97" s="147"/>
      <c r="D97" s="147"/>
      <c r="E97" s="131"/>
      <c r="F97" s="132"/>
      <c r="G97" s="131"/>
      <c r="H97" s="131"/>
      <c r="I97" s="133"/>
      <c r="J97" s="134"/>
      <c r="K97" s="147"/>
      <c r="L97" s="132"/>
      <c r="M97" s="148"/>
      <c r="N97"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08">
        <f>IF(Operations[[#This Row],[Calc List Price]]=0,0,IF(Operations[[#This Row],[Units per Hour]]*Operations[[#This Row],[Annual Use]]=0,0,(Operations[[#This Row],[Calc Beg Yr. Value]]-Operations[[#This Row],[Calc End Yr. Value]])/(Operations[[#This Row],[Annual Use]])))</f>
        <v>0</v>
      </c>
      <c r="S97" s="109">
        <f>IF(Operations[[#This Row],[Annual Use]]=0,0,Operations[[#This Row],[Calc Beg Yr. Value]]*'General Variables'!$B$7/Operations[[#This Row],[Annual Use]])</f>
        <v>0</v>
      </c>
      <c r="T97" s="109">
        <f>IF(Operations[[#This Row],[Annual Use]]=0,0,Operations[[#This Row],[Calc Beg Yr. Value]]*'General Variables'!$B$8/Operations[[#This Row],[Annual Use]])</f>
        <v>0</v>
      </c>
      <c r="U97" s="109">
        <f>SUM(Operations[[#This Row],[Depreciation per Unit]:[Opportunity Cost per Unit]])</f>
        <v>0</v>
      </c>
    </row>
    <row r="98" spans="1:21" ht="12.75" customHeight="1">
      <c r="A98" s="128"/>
      <c r="B98" s="129"/>
      <c r="C98" s="130"/>
      <c r="D98" s="130"/>
      <c r="E98" s="130"/>
      <c r="F98" s="149"/>
      <c r="G98" s="130"/>
      <c r="H98" s="130"/>
      <c r="I98" s="150"/>
      <c r="J98" s="150"/>
      <c r="K98" s="130"/>
      <c r="L98" s="150"/>
      <c r="M98" s="148"/>
      <c r="N98" s="12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23">
        <f>IF(Operations[[#This Row],[Calc List Price]]=0,0,IF(Operations[[#This Row],[Units per Hour]]*Operations[[#This Row],[Annual Use]]=0,0,(Operations[[#This Row],[Calc Beg Yr. Value]]-Operations[[#This Row],[Calc End Yr. Value]])/(Operations[[#This Row],[Annual Use]])))</f>
        <v>0</v>
      </c>
      <c r="S98" s="124">
        <f>IF(Operations[[#This Row],[Annual Use]]=0,0,Operations[[#This Row],[Calc Beg Yr. Value]]*'General Variables'!$B$7/Operations[[#This Row],[Annual Use]])</f>
        <v>0</v>
      </c>
      <c r="T98" s="124">
        <f>IF(Operations[[#This Row],[Annual Use]]=0,0,Operations[[#This Row],[Calc Beg Yr. Value]]*'General Variables'!$B$8/Operations[[#This Row],[Annual Use]])</f>
        <v>0</v>
      </c>
      <c r="U98" s="125">
        <f>SUM(Operations[[#This Row],[Depreciation per Unit]:[Opportunity Cost per Unit]])</f>
        <v>0</v>
      </c>
    </row>
    <row r="99" spans="1:21" ht="12.75" customHeight="1">
      <c r="A99" s="128"/>
      <c r="B99" s="129"/>
      <c r="C99" s="130"/>
      <c r="D99" s="130"/>
      <c r="E99" s="130"/>
      <c r="F99" s="149"/>
      <c r="G99" s="130"/>
      <c r="H99" s="130"/>
      <c r="I99" s="150"/>
      <c r="J99" s="150"/>
      <c r="K99" s="130"/>
      <c r="L99" s="150"/>
      <c r="M99" s="148"/>
      <c r="N99" s="12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23">
        <f>IF(Operations[[#This Row],[Calc List Price]]=0,0,IF(Operations[[#This Row],[Units per Hour]]*Operations[[#This Row],[Annual Use]]=0,0,(Operations[[#This Row],[Calc Beg Yr. Value]]-Operations[[#This Row],[Calc End Yr. Value]])/(Operations[[#This Row],[Annual Use]])))</f>
        <v>0</v>
      </c>
      <c r="S99" s="124">
        <f>IF(Operations[[#This Row],[Annual Use]]=0,0,Operations[[#This Row],[Calc Beg Yr. Value]]*'General Variables'!$B$7/Operations[[#This Row],[Annual Use]])</f>
        <v>0</v>
      </c>
      <c r="T99" s="124">
        <f>IF(Operations[[#This Row],[Annual Use]]=0,0,Operations[[#This Row],[Calc Beg Yr. Value]]*'General Variables'!$B$8/Operations[[#This Row],[Annual Use]])</f>
        <v>0</v>
      </c>
      <c r="U99" s="125">
        <f>SUM(Operations[[#This Row],[Depreciation per Unit]:[Opportunity Cost per Unit]])</f>
        <v>0</v>
      </c>
    </row>
    <row r="100" spans="1:21" ht="12.75" customHeight="1">
      <c r="A100" s="145"/>
      <c r="B100" s="146"/>
      <c r="C100" s="147"/>
      <c r="D100" s="147"/>
      <c r="E100" s="131"/>
      <c r="F100" s="132"/>
      <c r="G100" s="131"/>
      <c r="H100" s="131"/>
      <c r="I100" s="133"/>
      <c r="J100" s="134"/>
      <c r="K100" s="147"/>
      <c r="L100" s="132"/>
      <c r="M100" s="148"/>
      <c r="N100"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08">
        <f>IF(Operations[[#This Row],[Calc List Price]]=0,0,IF(Operations[[#This Row],[Units per Hour]]*Operations[[#This Row],[Annual Use]]=0,0,(Operations[[#This Row],[Calc Beg Yr. Value]]-Operations[[#This Row],[Calc End Yr. Value]])/(Operations[[#This Row],[Annual Use]])))</f>
        <v>0</v>
      </c>
      <c r="S100" s="109">
        <f>IF(Operations[[#This Row],[Annual Use]]=0,0,Operations[[#This Row],[Calc Beg Yr. Value]]*'General Variables'!$B$7/Operations[[#This Row],[Annual Use]])</f>
        <v>0</v>
      </c>
      <c r="T100" s="109">
        <f>IF(Operations[[#This Row],[Annual Use]]=0,0,Operations[[#This Row],[Calc Beg Yr. Value]]*'General Variables'!$B$8/Operations[[#This Row],[Annual Use]])</f>
        <v>0</v>
      </c>
      <c r="U100" s="109">
        <f>SUM(Operations[[#This Row],[Depreciation per Unit]:[Opportunity Cost per Unit]])</f>
        <v>0</v>
      </c>
    </row>
    <row r="101" spans="1:21" ht="12.75" customHeight="1">
      <c r="A101" s="145"/>
      <c r="B101" s="146"/>
      <c r="C101" s="147"/>
      <c r="D101" s="147"/>
      <c r="E101" s="147"/>
      <c r="F101" s="132"/>
      <c r="G101" s="131"/>
      <c r="H101" s="147"/>
      <c r="I101" s="134"/>
      <c r="J101" s="134"/>
      <c r="K101" s="147"/>
      <c r="L101" s="132"/>
      <c r="M101" s="148"/>
      <c r="N101" s="91">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0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1">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1"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08">
        <f>IF(Operations[[#This Row],[Calc List Price]]=0,0,IF(Operations[[#This Row],[Units per Hour]]*Operations[[#This Row],[Annual Use]]=0,0,(Operations[[#This Row],[Calc Beg Yr. Value]]-Operations[[#This Row],[Calc End Yr. Value]])/(Operations[[#This Row],[Annual Use]])))</f>
        <v>0</v>
      </c>
      <c r="S101" s="109">
        <f>IF(Operations[[#This Row],[Annual Use]]=0,0,Operations[[#This Row],[Calc Beg Yr. Value]]*'General Variables'!$B$7/Operations[[#This Row],[Annual Use]])</f>
        <v>0</v>
      </c>
      <c r="T101" s="109">
        <f>IF(Operations[[#This Row],[Annual Use]]=0,0,Operations[[#This Row],[Calc Beg Yr. Value]]*'General Variables'!$B$8/Operations[[#This Row],[Annual Use]])</f>
        <v>0</v>
      </c>
      <c r="U101" s="109">
        <f>SUM(Operations[[#This Row],[Depreciation per Unit]:[Opportunity Cost per Unit]])</f>
        <v>0</v>
      </c>
    </row>
    <row r="102" spans="1:21">
      <c r="B102" s="110"/>
      <c r="C102" s="110"/>
      <c r="D102" s="110"/>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heetViews>
  <sheetFormatPr defaultRowHeight="12.75"/>
  <cols>
    <col min="1" max="1" width="9.140625" style="154"/>
    <col min="2" max="2" width="24.7109375" style="154" customWidth="1"/>
    <col min="3" max="3" width="13.85546875" style="154" customWidth="1"/>
    <col min="4" max="4" width="9.5703125" style="154" customWidth="1"/>
    <col min="5" max="5" width="9.28515625" style="154" customWidth="1"/>
    <col min="6" max="6" width="9" style="154" customWidth="1"/>
    <col min="7" max="7" width="16" style="155" customWidth="1"/>
    <col min="8" max="8" width="9.42578125" style="154" customWidth="1"/>
    <col min="9" max="16384" width="9.140625" style="154"/>
  </cols>
  <sheetData>
    <row r="1" spans="1:10" s="153" customFormat="1" ht="26.25" customHeight="1">
      <c r="A1" s="151" t="s">
        <v>468</v>
      </c>
      <c r="B1" s="152" t="s">
        <v>4</v>
      </c>
      <c r="C1" s="152" t="s">
        <v>5</v>
      </c>
      <c r="D1" s="152" t="s">
        <v>74</v>
      </c>
      <c r="E1" s="152" t="s">
        <v>75</v>
      </c>
      <c r="F1" s="152" t="s">
        <v>76</v>
      </c>
      <c r="G1" s="152" t="s">
        <v>78</v>
      </c>
      <c r="H1" s="152" t="s">
        <v>77</v>
      </c>
    </row>
    <row r="2" spans="1:10" ht="12.75" customHeight="1">
      <c r="A2" s="154">
        <v>1</v>
      </c>
      <c r="B2" s="175" t="s">
        <v>453</v>
      </c>
      <c r="C2" s="176" t="s">
        <v>406</v>
      </c>
      <c r="D2" s="176">
        <v>21</v>
      </c>
      <c r="E2" s="176" t="s">
        <v>79</v>
      </c>
      <c r="F2" s="176" t="s">
        <v>79</v>
      </c>
      <c r="G2" s="177">
        <v>1</v>
      </c>
      <c r="H2" s="156">
        <f t="shared" ref="H2:H33" si="0">IF(G2=0,0,D2/G2)</f>
        <v>21</v>
      </c>
    </row>
    <row r="3" spans="1:10" ht="12.75" customHeight="1">
      <c r="A3" s="154">
        <v>2</v>
      </c>
      <c r="B3" s="175" t="s">
        <v>455</v>
      </c>
      <c r="C3" s="176" t="s">
        <v>406</v>
      </c>
      <c r="D3" s="176">
        <v>15</v>
      </c>
      <c r="E3" s="176" t="s">
        <v>79</v>
      </c>
      <c r="F3" s="176" t="s">
        <v>79</v>
      </c>
      <c r="G3" s="177">
        <v>1</v>
      </c>
      <c r="H3" s="156">
        <f t="shared" si="0"/>
        <v>15</v>
      </c>
      <c r="J3" s="157"/>
    </row>
    <row r="4" spans="1:10" ht="12.75" customHeight="1">
      <c r="A4" s="154">
        <v>3</v>
      </c>
      <c r="B4" s="175" t="s">
        <v>451</v>
      </c>
      <c r="C4" s="176" t="s">
        <v>406</v>
      </c>
      <c r="D4" s="176">
        <v>21</v>
      </c>
      <c r="E4" s="176" t="s">
        <v>79</v>
      </c>
      <c r="F4" s="176" t="s">
        <v>79</v>
      </c>
      <c r="G4" s="177">
        <v>1</v>
      </c>
      <c r="H4" s="156">
        <f t="shared" si="0"/>
        <v>21</v>
      </c>
      <c r="J4" s="157"/>
    </row>
    <row r="5" spans="1:10" ht="12.75" customHeight="1">
      <c r="A5" s="154">
        <v>4</v>
      </c>
      <c r="B5" s="175" t="s">
        <v>452</v>
      </c>
      <c r="C5" s="176" t="s">
        <v>406</v>
      </c>
      <c r="D5" s="176">
        <v>20</v>
      </c>
      <c r="E5" s="176" t="s">
        <v>79</v>
      </c>
      <c r="F5" s="176" t="s">
        <v>79</v>
      </c>
      <c r="G5" s="177">
        <v>1</v>
      </c>
      <c r="H5" s="156">
        <f t="shared" si="0"/>
        <v>20</v>
      </c>
      <c r="J5" s="157"/>
    </row>
    <row r="6" spans="1:10" ht="12.75" customHeight="1">
      <c r="A6" s="154">
        <v>5</v>
      </c>
      <c r="B6" s="175" t="s">
        <v>479</v>
      </c>
      <c r="C6" s="176" t="s">
        <v>406</v>
      </c>
      <c r="D6" s="176">
        <v>16</v>
      </c>
      <c r="E6" s="176" t="s">
        <v>79</v>
      </c>
      <c r="F6" s="176" t="s">
        <v>79</v>
      </c>
      <c r="G6" s="177">
        <v>1</v>
      </c>
      <c r="H6" s="156">
        <f t="shared" si="0"/>
        <v>16</v>
      </c>
      <c r="J6" s="157"/>
    </row>
    <row r="7" spans="1:10" ht="12.75" customHeight="1">
      <c r="A7" s="154">
        <v>6</v>
      </c>
      <c r="B7" s="175" t="s">
        <v>484</v>
      </c>
      <c r="C7" s="176" t="s">
        <v>406</v>
      </c>
      <c r="D7" s="176">
        <v>15</v>
      </c>
      <c r="E7" s="176" t="s">
        <v>79</v>
      </c>
      <c r="F7" s="176" t="s">
        <v>79</v>
      </c>
      <c r="G7" s="177">
        <v>1</v>
      </c>
      <c r="H7" s="156">
        <f t="shared" si="0"/>
        <v>15</v>
      </c>
      <c r="J7" s="157"/>
    </row>
    <row r="8" spans="1:10" ht="12.75" customHeight="1">
      <c r="A8" s="154">
        <v>7</v>
      </c>
      <c r="B8" s="175" t="s">
        <v>454</v>
      </c>
      <c r="C8" s="176" t="s">
        <v>406</v>
      </c>
      <c r="D8" s="176">
        <v>30</v>
      </c>
      <c r="E8" s="176" t="s">
        <v>79</v>
      </c>
      <c r="F8" s="176" t="s">
        <v>79</v>
      </c>
      <c r="G8" s="177">
        <v>1</v>
      </c>
      <c r="H8" s="156">
        <f t="shared" si="0"/>
        <v>30</v>
      </c>
      <c r="J8" s="157"/>
    </row>
    <row r="9" spans="1:10" ht="12.75" customHeight="1">
      <c r="A9" s="154">
        <v>8</v>
      </c>
      <c r="B9" s="175" t="s">
        <v>456</v>
      </c>
      <c r="C9" s="176" t="s">
        <v>406</v>
      </c>
      <c r="D9" s="176">
        <v>12</v>
      </c>
      <c r="E9" s="176" t="s">
        <v>79</v>
      </c>
      <c r="F9" s="176" t="s">
        <v>79</v>
      </c>
      <c r="G9" s="177">
        <v>1</v>
      </c>
      <c r="H9" s="156">
        <f t="shared" si="0"/>
        <v>12</v>
      </c>
      <c r="J9" s="157"/>
    </row>
    <row r="10" spans="1:10" ht="12.75" customHeight="1">
      <c r="A10" s="154">
        <v>9</v>
      </c>
      <c r="B10" s="178" t="s">
        <v>17</v>
      </c>
      <c r="C10" s="179" t="s">
        <v>3</v>
      </c>
      <c r="D10" s="180">
        <v>8</v>
      </c>
      <c r="E10" s="181" t="s">
        <v>79</v>
      </c>
      <c r="F10" s="179" t="s">
        <v>79</v>
      </c>
      <c r="G10" s="177">
        <v>1</v>
      </c>
      <c r="H10" s="156">
        <f t="shared" si="0"/>
        <v>8</v>
      </c>
      <c r="J10" s="157"/>
    </row>
    <row r="11" spans="1:10" ht="12.75" customHeight="1">
      <c r="A11" s="154">
        <v>10</v>
      </c>
      <c r="B11" s="190" t="s">
        <v>20</v>
      </c>
      <c r="C11" s="160" t="s">
        <v>3</v>
      </c>
      <c r="D11" s="161">
        <v>13</v>
      </c>
      <c r="E11" s="162" t="s">
        <v>80</v>
      </c>
      <c r="F11" s="160" t="s">
        <v>72</v>
      </c>
      <c r="G11" s="159">
        <f>12/20</f>
        <v>0.6</v>
      </c>
      <c r="H11" s="156">
        <f t="shared" si="0"/>
        <v>21.666666666666668</v>
      </c>
      <c r="J11" s="157"/>
    </row>
    <row r="12" spans="1:10" ht="12.75" customHeight="1">
      <c r="A12" s="154">
        <v>11</v>
      </c>
      <c r="B12" s="178" t="s">
        <v>23</v>
      </c>
      <c r="C12" s="179" t="s">
        <v>3</v>
      </c>
      <c r="D12" s="180">
        <v>7.5</v>
      </c>
      <c r="E12" s="181" t="s">
        <v>72</v>
      </c>
      <c r="F12" s="179" t="s">
        <v>72</v>
      </c>
      <c r="G12" s="177">
        <v>1</v>
      </c>
      <c r="H12" s="156">
        <f t="shared" si="0"/>
        <v>7.5</v>
      </c>
      <c r="J12" s="157"/>
    </row>
    <row r="13" spans="1:10" ht="12.75" customHeight="1">
      <c r="A13" s="154">
        <v>12</v>
      </c>
      <c r="B13" s="178" t="s">
        <v>29</v>
      </c>
      <c r="C13" s="179" t="s">
        <v>3</v>
      </c>
      <c r="D13" s="180">
        <v>0.24</v>
      </c>
      <c r="E13" s="181" t="s">
        <v>430</v>
      </c>
      <c r="F13" s="179" t="s">
        <v>430</v>
      </c>
      <c r="G13" s="177">
        <v>1</v>
      </c>
      <c r="H13" s="156">
        <f t="shared" si="0"/>
        <v>0.24</v>
      </c>
      <c r="J13" s="157"/>
    </row>
    <row r="14" spans="1:10" ht="12.75" customHeight="1">
      <c r="A14" s="154">
        <v>13</v>
      </c>
      <c r="B14" s="178" t="s">
        <v>40</v>
      </c>
      <c r="C14" s="179" t="s">
        <v>3</v>
      </c>
      <c r="D14" s="180">
        <v>6</v>
      </c>
      <c r="E14" s="181" t="s">
        <v>72</v>
      </c>
      <c r="F14" s="179" t="s">
        <v>72</v>
      </c>
      <c r="G14" s="177">
        <v>1</v>
      </c>
      <c r="H14" s="156">
        <f t="shared" si="0"/>
        <v>6</v>
      </c>
    </row>
    <row r="15" spans="1:10" ht="12.75" customHeight="1">
      <c r="A15" s="154">
        <v>14</v>
      </c>
      <c r="B15" s="178" t="s">
        <v>41</v>
      </c>
      <c r="C15" s="179" t="s">
        <v>3</v>
      </c>
      <c r="D15" s="180">
        <v>3.5</v>
      </c>
      <c r="E15" s="181" t="s">
        <v>72</v>
      </c>
      <c r="F15" s="179" t="s">
        <v>72</v>
      </c>
      <c r="G15" s="177">
        <v>1</v>
      </c>
      <c r="H15" s="156">
        <f t="shared" si="0"/>
        <v>3.5</v>
      </c>
      <c r="J15" s="157"/>
    </row>
    <row r="16" spans="1:10" ht="12.75" customHeight="1">
      <c r="A16" s="154">
        <v>15</v>
      </c>
      <c r="B16" s="178" t="s">
        <v>421</v>
      </c>
      <c r="C16" s="179" t="s">
        <v>3</v>
      </c>
      <c r="D16" s="180">
        <v>0.28000000000000003</v>
      </c>
      <c r="E16" s="181" t="s">
        <v>81</v>
      </c>
      <c r="F16" s="179" t="s">
        <v>81</v>
      </c>
      <c r="G16" s="177">
        <v>1</v>
      </c>
      <c r="H16" s="156">
        <f t="shared" si="0"/>
        <v>0.28000000000000003</v>
      </c>
      <c r="J16" s="157"/>
    </row>
    <row r="17" spans="1:10" ht="12.75" customHeight="1">
      <c r="A17" s="154">
        <v>16</v>
      </c>
      <c r="B17" s="175" t="s">
        <v>418</v>
      </c>
      <c r="C17" s="176" t="s">
        <v>3</v>
      </c>
      <c r="D17" s="182">
        <v>0.24</v>
      </c>
      <c r="E17" s="176" t="s">
        <v>81</v>
      </c>
      <c r="F17" s="176" t="s">
        <v>81</v>
      </c>
      <c r="G17" s="177">
        <v>1</v>
      </c>
      <c r="H17" s="156">
        <f t="shared" si="0"/>
        <v>0.24</v>
      </c>
      <c r="J17" s="157"/>
    </row>
    <row r="18" spans="1:10" ht="12.75" customHeight="1">
      <c r="A18" s="154">
        <v>17</v>
      </c>
      <c r="B18" s="175" t="s">
        <v>419</v>
      </c>
      <c r="C18" s="176" t="s">
        <v>3</v>
      </c>
      <c r="D18" s="182">
        <v>0.3</v>
      </c>
      <c r="E18" s="176" t="s">
        <v>81</v>
      </c>
      <c r="F18" s="176" t="s">
        <v>81</v>
      </c>
      <c r="G18" s="177">
        <v>1</v>
      </c>
      <c r="H18" s="156">
        <f t="shared" si="0"/>
        <v>0.3</v>
      </c>
    </row>
    <row r="19" spans="1:10" ht="12.75" customHeight="1">
      <c r="A19" s="154">
        <v>18</v>
      </c>
      <c r="B19" s="178" t="s">
        <v>42</v>
      </c>
      <c r="C19" s="179" t="s">
        <v>3</v>
      </c>
      <c r="D19" s="180">
        <v>0.12</v>
      </c>
      <c r="E19" s="181" t="s">
        <v>430</v>
      </c>
      <c r="F19" s="179" t="s">
        <v>430</v>
      </c>
      <c r="G19" s="177">
        <v>1</v>
      </c>
      <c r="H19" s="156">
        <f t="shared" si="0"/>
        <v>0.12</v>
      </c>
      <c r="J19" s="157"/>
    </row>
    <row r="20" spans="1:10" ht="12.75" customHeight="1">
      <c r="A20" s="154">
        <v>19</v>
      </c>
      <c r="B20" s="178" t="s">
        <v>62</v>
      </c>
      <c r="C20" s="179" t="s">
        <v>3</v>
      </c>
      <c r="D20" s="180">
        <v>6</v>
      </c>
      <c r="E20" s="181" t="s">
        <v>79</v>
      </c>
      <c r="F20" s="179" t="s">
        <v>79</v>
      </c>
      <c r="G20" s="177">
        <v>1</v>
      </c>
      <c r="H20" s="156">
        <f t="shared" si="0"/>
        <v>6</v>
      </c>
      <c r="J20" s="157"/>
    </row>
    <row r="21" spans="1:10" ht="12.75" customHeight="1">
      <c r="A21" s="154">
        <v>20</v>
      </c>
      <c r="B21" s="190" t="s">
        <v>6</v>
      </c>
      <c r="C21" s="160" t="s">
        <v>7</v>
      </c>
      <c r="D21" s="161">
        <v>4.7</v>
      </c>
      <c r="E21" s="162" t="s">
        <v>431</v>
      </c>
      <c r="F21" s="160" t="s">
        <v>431</v>
      </c>
      <c r="G21" s="159">
        <v>1</v>
      </c>
      <c r="H21" s="156">
        <f t="shared" si="0"/>
        <v>4.7</v>
      </c>
      <c r="J21" s="157"/>
    </row>
    <row r="22" spans="1:10" ht="12.75" customHeight="1">
      <c r="A22" s="154">
        <v>21</v>
      </c>
      <c r="B22" s="178" t="s">
        <v>8</v>
      </c>
      <c r="C22" s="179" t="s">
        <v>7</v>
      </c>
      <c r="D22" s="180">
        <v>5</v>
      </c>
      <c r="E22" s="181" t="s">
        <v>431</v>
      </c>
      <c r="F22" s="179" t="s">
        <v>431</v>
      </c>
      <c r="G22" s="177">
        <v>1</v>
      </c>
      <c r="H22" s="156">
        <f t="shared" si="0"/>
        <v>5</v>
      </c>
      <c r="J22" s="157"/>
    </row>
    <row r="23" spans="1:10" ht="12.75" customHeight="1">
      <c r="A23" s="154">
        <v>22</v>
      </c>
      <c r="B23" s="184" t="s">
        <v>9</v>
      </c>
      <c r="C23" s="158" t="s">
        <v>7</v>
      </c>
      <c r="D23" s="78">
        <v>0.38</v>
      </c>
      <c r="E23" s="158" t="s">
        <v>432</v>
      </c>
      <c r="F23" s="158" t="s">
        <v>432</v>
      </c>
      <c r="G23" s="159">
        <v>1</v>
      </c>
      <c r="H23" s="156">
        <f t="shared" si="0"/>
        <v>0.38</v>
      </c>
    </row>
    <row r="24" spans="1:10" ht="12.75" customHeight="1">
      <c r="A24" s="154">
        <v>23</v>
      </c>
      <c r="B24" s="189" t="s">
        <v>474</v>
      </c>
      <c r="C24" s="160" t="s">
        <v>7</v>
      </c>
      <c r="D24" s="161">
        <v>0.21</v>
      </c>
      <c r="E24" s="162" t="s">
        <v>432</v>
      </c>
      <c r="F24" s="167" t="s">
        <v>432</v>
      </c>
      <c r="G24" s="159">
        <v>1</v>
      </c>
      <c r="H24" s="156">
        <f t="shared" si="0"/>
        <v>0.21</v>
      </c>
      <c r="J24" s="157"/>
    </row>
    <row r="25" spans="1:10" ht="12.75" customHeight="1">
      <c r="A25" s="154">
        <v>24</v>
      </c>
      <c r="B25" s="178" t="s">
        <v>13</v>
      </c>
      <c r="C25" s="179" t="s">
        <v>7</v>
      </c>
      <c r="D25" s="180">
        <v>2.25</v>
      </c>
      <c r="E25" s="181" t="s">
        <v>431</v>
      </c>
      <c r="F25" s="183" t="s">
        <v>438</v>
      </c>
      <c r="G25" s="177">
        <v>3</v>
      </c>
      <c r="H25" s="156">
        <f t="shared" si="0"/>
        <v>0.75</v>
      </c>
      <c r="J25" s="157"/>
    </row>
    <row r="26" spans="1:10" ht="12.75" customHeight="1">
      <c r="A26" s="154">
        <v>25</v>
      </c>
      <c r="B26" s="175" t="s">
        <v>440</v>
      </c>
      <c r="C26" s="176" t="s">
        <v>7</v>
      </c>
      <c r="D26" s="182">
        <v>2.57</v>
      </c>
      <c r="E26" s="176" t="s">
        <v>431</v>
      </c>
      <c r="F26" s="176" t="s">
        <v>438</v>
      </c>
      <c r="G26" s="177">
        <v>3.54</v>
      </c>
      <c r="H26" s="156">
        <f t="shared" si="0"/>
        <v>0.72598870056497167</v>
      </c>
      <c r="J26" s="157"/>
    </row>
    <row r="27" spans="1:10" ht="12.75" customHeight="1">
      <c r="A27" s="154">
        <v>26</v>
      </c>
      <c r="B27" s="178" t="s">
        <v>14</v>
      </c>
      <c r="C27" s="179" t="s">
        <v>7</v>
      </c>
      <c r="D27" s="180">
        <v>0.71</v>
      </c>
      <c r="E27" s="181" t="s">
        <v>82</v>
      </c>
      <c r="F27" s="183" t="s">
        <v>438</v>
      </c>
      <c r="G27" s="177">
        <v>1</v>
      </c>
      <c r="H27" s="156">
        <f t="shared" si="0"/>
        <v>0.71</v>
      </c>
      <c r="J27" s="157"/>
    </row>
    <row r="28" spans="1:10" ht="12.75" customHeight="1">
      <c r="A28" s="154">
        <v>27</v>
      </c>
      <c r="B28" s="178" t="s">
        <v>15</v>
      </c>
      <c r="C28" s="179" t="s">
        <v>7</v>
      </c>
      <c r="D28" s="180">
        <v>0.48</v>
      </c>
      <c r="E28" s="179" t="s">
        <v>82</v>
      </c>
      <c r="F28" s="183" t="s">
        <v>438</v>
      </c>
      <c r="G28" s="177">
        <v>1</v>
      </c>
      <c r="H28" s="156">
        <f t="shared" si="0"/>
        <v>0.48</v>
      </c>
      <c r="J28" s="157"/>
    </row>
    <row r="29" spans="1:10" ht="12.75" customHeight="1">
      <c r="A29" s="154">
        <v>28</v>
      </c>
      <c r="B29" s="178" t="s">
        <v>69</v>
      </c>
      <c r="C29" s="179" t="s">
        <v>7</v>
      </c>
      <c r="D29" s="180">
        <v>1</v>
      </c>
      <c r="E29" s="181" t="s">
        <v>72</v>
      </c>
      <c r="F29" s="179" t="s">
        <v>72</v>
      </c>
      <c r="G29" s="177">
        <v>1</v>
      </c>
      <c r="H29" s="156">
        <f t="shared" si="0"/>
        <v>1</v>
      </c>
      <c r="J29" s="157"/>
    </row>
    <row r="30" spans="1:10" ht="12.75" customHeight="1">
      <c r="A30" s="154">
        <v>29</v>
      </c>
      <c r="B30" s="175" t="s">
        <v>464</v>
      </c>
      <c r="C30" s="176" t="s">
        <v>44</v>
      </c>
      <c r="D30" s="182">
        <v>4.5</v>
      </c>
      <c r="E30" s="176" t="s">
        <v>434</v>
      </c>
      <c r="F30" s="176" t="s">
        <v>434</v>
      </c>
      <c r="G30" s="177">
        <v>1</v>
      </c>
      <c r="H30" s="156">
        <f t="shared" si="0"/>
        <v>4.5</v>
      </c>
      <c r="J30" s="157"/>
    </row>
    <row r="31" spans="1:10" ht="12.75" customHeight="1">
      <c r="A31" s="154">
        <v>30</v>
      </c>
      <c r="B31" s="195" t="s">
        <v>489</v>
      </c>
      <c r="C31" s="179" t="s">
        <v>44</v>
      </c>
      <c r="D31" s="180">
        <v>1.8</v>
      </c>
      <c r="E31" s="181" t="s">
        <v>433</v>
      </c>
      <c r="F31" s="179" t="s">
        <v>433</v>
      </c>
      <c r="G31" s="177">
        <v>1</v>
      </c>
      <c r="H31" s="156">
        <f t="shared" si="0"/>
        <v>1.8</v>
      </c>
      <c r="J31" s="157"/>
    </row>
    <row r="32" spans="1:10" ht="12.75" customHeight="1">
      <c r="A32" s="154">
        <v>31</v>
      </c>
      <c r="B32" s="178" t="s">
        <v>65</v>
      </c>
      <c r="C32" s="179" t="s">
        <v>44</v>
      </c>
      <c r="D32" s="180">
        <v>150</v>
      </c>
      <c r="E32" s="181" t="s">
        <v>431</v>
      </c>
      <c r="F32" s="183" t="s">
        <v>433</v>
      </c>
      <c r="G32" s="177">
        <v>128</v>
      </c>
      <c r="H32" s="156">
        <f t="shared" si="0"/>
        <v>1.171875</v>
      </c>
      <c r="J32" s="157"/>
    </row>
    <row r="33" spans="1:10" ht="12.75" customHeight="1">
      <c r="A33" s="154">
        <v>32</v>
      </c>
      <c r="B33" s="178" t="s">
        <v>10</v>
      </c>
      <c r="C33" s="179" t="s">
        <v>11</v>
      </c>
      <c r="D33" s="176">
        <v>14</v>
      </c>
      <c r="E33" s="176" t="s">
        <v>431</v>
      </c>
      <c r="F33" s="179" t="s">
        <v>434</v>
      </c>
      <c r="G33" s="177">
        <v>8</v>
      </c>
      <c r="H33" s="156">
        <f t="shared" si="0"/>
        <v>1.75</v>
      </c>
      <c r="J33" s="157"/>
    </row>
    <row r="34" spans="1:10" ht="12.75" customHeight="1">
      <c r="A34" s="154">
        <v>33</v>
      </c>
      <c r="B34" s="178" t="s">
        <v>12</v>
      </c>
      <c r="C34" s="179" t="s">
        <v>11</v>
      </c>
      <c r="D34" s="176">
        <v>17.5</v>
      </c>
      <c r="E34" s="176" t="s">
        <v>431</v>
      </c>
      <c r="F34" s="179" t="s">
        <v>434</v>
      </c>
      <c r="G34" s="177">
        <v>8</v>
      </c>
      <c r="H34" s="156">
        <f t="shared" ref="H34:H65" si="1">IF(G34=0,0,D34/G34)</f>
        <v>2.1875</v>
      </c>
      <c r="J34" s="157"/>
    </row>
    <row r="35" spans="1:10" ht="12.75" customHeight="1">
      <c r="A35" s="154">
        <v>34</v>
      </c>
      <c r="B35" s="178" t="s">
        <v>16</v>
      </c>
      <c r="C35" s="179" t="s">
        <v>11</v>
      </c>
      <c r="D35" s="176">
        <v>25</v>
      </c>
      <c r="E35" s="176" t="s">
        <v>431</v>
      </c>
      <c r="F35" s="179" t="s">
        <v>435</v>
      </c>
      <c r="G35" s="177">
        <v>4</v>
      </c>
      <c r="H35" s="156">
        <f t="shared" si="1"/>
        <v>6.25</v>
      </c>
    </row>
    <row r="36" spans="1:10" ht="12.75" customHeight="1">
      <c r="A36" s="154">
        <v>35</v>
      </c>
      <c r="B36" s="189" t="s">
        <v>475</v>
      </c>
      <c r="C36" s="160" t="s">
        <v>11</v>
      </c>
      <c r="D36" s="163">
        <v>260</v>
      </c>
      <c r="E36" s="158" t="s">
        <v>435</v>
      </c>
      <c r="F36" s="160" t="s">
        <v>433</v>
      </c>
      <c r="G36" s="159">
        <v>32</v>
      </c>
      <c r="H36" s="156">
        <f t="shared" si="1"/>
        <v>8.125</v>
      </c>
      <c r="J36" s="157"/>
    </row>
    <row r="37" spans="1:10" ht="12.75" customHeight="1">
      <c r="A37" s="154">
        <v>36</v>
      </c>
      <c r="B37" s="178" t="s">
        <v>488</v>
      </c>
      <c r="C37" s="179" t="s">
        <v>11</v>
      </c>
      <c r="D37" s="176">
        <v>8.5</v>
      </c>
      <c r="E37" s="176" t="s">
        <v>433</v>
      </c>
      <c r="F37" s="183" t="s">
        <v>433</v>
      </c>
      <c r="G37" s="177">
        <v>1</v>
      </c>
      <c r="H37" s="156">
        <f t="shared" si="1"/>
        <v>8.5</v>
      </c>
      <c r="J37" s="157"/>
    </row>
    <row r="38" spans="1:10" ht="12.75" customHeight="1">
      <c r="A38" s="154">
        <v>37</v>
      </c>
      <c r="B38" s="194" t="s">
        <v>476</v>
      </c>
      <c r="C38" s="179" t="s">
        <v>11</v>
      </c>
      <c r="D38" s="176">
        <v>75</v>
      </c>
      <c r="E38" s="176" t="s">
        <v>432</v>
      </c>
      <c r="F38" s="179" t="s">
        <v>433</v>
      </c>
      <c r="G38" s="177">
        <v>16</v>
      </c>
      <c r="H38" s="156">
        <f t="shared" si="1"/>
        <v>4.6875</v>
      </c>
      <c r="J38" s="157"/>
    </row>
    <row r="39" spans="1:10" ht="12.75" customHeight="1">
      <c r="A39" s="154">
        <v>38</v>
      </c>
      <c r="B39" s="175" t="s">
        <v>397</v>
      </c>
      <c r="C39" s="176" t="s">
        <v>11</v>
      </c>
      <c r="D39" s="182">
        <v>4.5999999999999996</v>
      </c>
      <c r="E39" s="176" t="s">
        <v>433</v>
      </c>
      <c r="F39" s="176" t="s">
        <v>433</v>
      </c>
      <c r="G39" s="177">
        <v>1</v>
      </c>
      <c r="H39" s="156">
        <f t="shared" si="1"/>
        <v>4.5999999999999996</v>
      </c>
      <c r="J39" s="157"/>
    </row>
    <row r="40" spans="1:10" ht="12.75" customHeight="1">
      <c r="A40" s="154">
        <v>39</v>
      </c>
      <c r="B40" s="175" t="s">
        <v>441</v>
      </c>
      <c r="C40" s="176" t="s">
        <v>11</v>
      </c>
      <c r="D40" s="182">
        <v>110</v>
      </c>
      <c r="E40" s="176" t="s">
        <v>431</v>
      </c>
      <c r="F40" s="176" t="s">
        <v>434</v>
      </c>
      <c r="G40" s="177">
        <v>8</v>
      </c>
      <c r="H40" s="156">
        <f t="shared" si="1"/>
        <v>13.75</v>
      </c>
      <c r="J40" s="157"/>
    </row>
    <row r="41" spans="1:10" ht="12.75" customHeight="1">
      <c r="A41" s="154">
        <v>40</v>
      </c>
      <c r="B41" s="178" t="s">
        <v>21</v>
      </c>
      <c r="C41" s="179" t="s">
        <v>11</v>
      </c>
      <c r="D41" s="176">
        <v>51</v>
      </c>
      <c r="E41" s="176" t="s">
        <v>431</v>
      </c>
      <c r="F41" s="179" t="s">
        <v>435</v>
      </c>
      <c r="G41" s="177">
        <v>4</v>
      </c>
      <c r="H41" s="156">
        <f t="shared" si="1"/>
        <v>12.75</v>
      </c>
      <c r="J41" s="157"/>
    </row>
    <row r="42" spans="1:10" ht="12.75" customHeight="1">
      <c r="A42" s="154">
        <v>41</v>
      </c>
      <c r="B42" s="178" t="s">
        <v>27</v>
      </c>
      <c r="C42" s="179" t="s">
        <v>11</v>
      </c>
      <c r="D42" s="176">
        <v>1.04</v>
      </c>
      <c r="E42" s="176" t="s">
        <v>434</v>
      </c>
      <c r="F42" s="179" t="s">
        <v>434</v>
      </c>
      <c r="G42" s="177">
        <v>1</v>
      </c>
      <c r="H42" s="156">
        <f t="shared" si="1"/>
        <v>1.04</v>
      </c>
      <c r="J42" s="157"/>
    </row>
    <row r="43" spans="1:10" ht="12.75" customHeight="1">
      <c r="A43" s="154">
        <v>42</v>
      </c>
      <c r="B43" s="178" t="s">
        <v>28</v>
      </c>
      <c r="C43" s="179" t="s">
        <v>11</v>
      </c>
      <c r="D43" s="176">
        <v>36</v>
      </c>
      <c r="E43" s="176" t="s">
        <v>431</v>
      </c>
      <c r="F43" s="179" t="s">
        <v>433</v>
      </c>
      <c r="G43" s="177">
        <v>128</v>
      </c>
      <c r="H43" s="156">
        <f t="shared" si="1"/>
        <v>0.28125</v>
      </c>
      <c r="J43" s="157"/>
    </row>
    <row r="44" spans="1:10" ht="12.75" customHeight="1">
      <c r="A44" s="154">
        <v>43</v>
      </c>
      <c r="B44" s="178" t="s">
        <v>33</v>
      </c>
      <c r="C44" s="179" t="s">
        <v>11</v>
      </c>
      <c r="D44" s="176">
        <v>35</v>
      </c>
      <c r="E44" s="176" t="s">
        <v>431</v>
      </c>
      <c r="F44" s="179" t="s">
        <v>435</v>
      </c>
      <c r="G44" s="177">
        <v>4</v>
      </c>
      <c r="H44" s="156">
        <f t="shared" si="1"/>
        <v>8.75</v>
      </c>
    </row>
    <row r="45" spans="1:10" ht="12.75" customHeight="1">
      <c r="A45" s="154">
        <v>44</v>
      </c>
      <c r="B45" s="178" t="s">
        <v>35</v>
      </c>
      <c r="C45" s="179" t="s">
        <v>11</v>
      </c>
      <c r="D45" s="176">
        <v>11</v>
      </c>
      <c r="E45" s="176" t="s">
        <v>431</v>
      </c>
      <c r="F45" s="179" t="s">
        <v>433</v>
      </c>
      <c r="G45" s="177">
        <v>128</v>
      </c>
      <c r="H45" s="156">
        <f t="shared" si="1"/>
        <v>8.59375E-2</v>
      </c>
      <c r="J45" s="157"/>
    </row>
    <row r="46" spans="1:10" ht="12.75" customHeight="1">
      <c r="A46" s="154">
        <v>45</v>
      </c>
      <c r="B46" s="178" t="s">
        <v>36</v>
      </c>
      <c r="C46" s="179" t="s">
        <v>11</v>
      </c>
      <c r="D46" s="176">
        <v>38</v>
      </c>
      <c r="E46" s="176" t="s">
        <v>431</v>
      </c>
      <c r="F46" s="179" t="s">
        <v>434</v>
      </c>
      <c r="G46" s="177">
        <v>8</v>
      </c>
      <c r="H46" s="156">
        <f t="shared" si="1"/>
        <v>4.75</v>
      </c>
      <c r="J46" s="157"/>
    </row>
    <row r="47" spans="1:10" ht="12.75" customHeight="1">
      <c r="A47" s="154">
        <v>46</v>
      </c>
      <c r="B47" s="178" t="s">
        <v>45</v>
      </c>
      <c r="C47" s="179" t="s">
        <v>11</v>
      </c>
      <c r="D47" s="176">
        <v>15</v>
      </c>
      <c r="E47" s="176" t="s">
        <v>431</v>
      </c>
      <c r="F47" s="179" t="s">
        <v>433</v>
      </c>
      <c r="G47" s="177">
        <v>128</v>
      </c>
      <c r="H47" s="156">
        <f t="shared" si="1"/>
        <v>0.1171875</v>
      </c>
      <c r="J47" s="157"/>
    </row>
    <row r="48" spans="1:10" ht="12.75" customHeight="1">
      <c r="A48" s="154">
        <v>47</v>
      </c>
      <c r="B48" s="175" t="s">
        <v>394</v>
      </c>
      <c r="C48" s="176" t="s">
        <v>11</v>
      </c>
      <c r="D48" s="182">
        <v>72</v>
      </c>
      <c r="E48" s="176" t="s">
        <v>431</v>
      </c>
      <c r="F48" s="176" t="s">
        <v>435</v>
      </c>
      <c r="G48" s="177">
        <v>4</v>
      </c>
      <c r="H48" s="156">
        <f t="shared" si="1"/>
        <v>18</v>
      </c>
      <c r="J48" s="157"/>
    </row>
    <row r="49" spans="1:10" ht="12.75" customHeight="1">
      <c r="A49" s="154">
        <v>48</v>
      </c>
      <c r="B49" s="178" t="s">
        <v>50</v>
      </c>
      <c r="C49" s="179" t="s">
        <v>11</v>
      </c>
      <c r="D49" s="176">
        <v>20</v>
      </c>
      <c r="E49" s="199" t="s">
        <v>431</v>
      </c>
      <c r="F49" s="183" t="s">
        <v>433</v>
      </c>
      <c r="G49" s="177">
        <v>128</v>
      </c>
      <c r="H49" s="156">
        <f t="shared" si="1"/>
        <v>0.15625</v>
      </c>
      <c r="J49" s="157"/>
    </row>
    <row r="50" spans="1:10" ht="12.75" customHeight="1">
      <c r="A50" s="154">
        <v>49</v>
      </c>
      <c r="B50" s="175" t="s">
        <v>462</v>
      </c>
      <c r="C50" s="176" t="s">
        <v>11</v>
      </c>
      <c r="D50" s="182">
        <v>207</v>
      </c>
      <c r="E50" s="176" t="s">
        <v>431</v>
      </c>
      <c r="F50" s="176" t="s">
        <v>433</v>
      </c>
      <c r="G50" s="177">
        <v>128</v>
      </c>
      <c r="H50" s="156">
        <f t="shared" si="1"/>
        <v>1.6171875</v>
      </c>
      <c r="J50" s="157"/>
    </row>
    <row r="51" spans="1:10" ht="12.75" customHeight="1">
      <c r="A51" s="154">
        <v>50</v>
      </c>
      <c r="B51" s="178" t="s">
        <v>52</v>
      </c>
      <c r="C51" s="179" t="s">
        <v>11</v>
      </c>
      <c r="D51" s="176">
        <v>15</v>
      </c>
      <c r="E51" s="176" t="s">
        <v>433</v>
      </c>
      <c r="F51" s="179" t="s">
        <v>433</v>
      </c>
      <c r="G51" s="177">
        <v>1</v>
      </c>
      <c r="H51" s="156">
        <f t="shared" si="1"/>
        <v>15</v>
      </c>
      <c r="J51" s="157"/>
    </row>
    <row r="52" spans="1:10" ht="12.75" customHeight="1">
      <c r="A52" s="154">
        <v>51</v>
      </c>
      <c r="B52" s="178" t="s">
        <v>463</v>
      </c>
      <c r="C52" s="179" t="s">
        <v>11</v>
      </c>
      <c r="D52" s="176">
        <v>48</v>
      </c>
      <c r="E52" s="176" t="s">
        <v>431</v>
      </c>
      <c r="F52" s="179" t="s">
        <v>434</v>
      </c>
      <c r="G52" s="177">
        <v>8</v>
      </c>
      <c r="H52" s="156">
        <f t="shared" si="1"/>
        <v>6</v>
      </c>
      <c r="J52" s="157"/>
    </row>
    <row r="53" spans="1:10" ht="12.75" customHeight="1">
      <c r="A53" s="154">
        <v>52</v>
      </c>
      <c r="B53" s="178" t="s">
        <v>53</v>
      </c>
      <c r="C53" s="179" t="s">
        <v>11</v>
      </c>
      <c r="D53" s="176">
        <v>700</v>
      </c>
      <c r="E53" s="176" t="s">
        <v>431</v>
      </c>
      <c r="F53" s="179" t="s">
        <v>433</v>
      </c>
      <c r="G53" s="177">
        <v>128</v>
      </c>
      <c r="H53" s="156">
        <f t="shared" si="1"/>
        <v>5.46875</v>
      </c>
      <c r="J53" s="157"/>
    </row>
    <row r="54" spans="1:10" ht="12.75" customHeight="1">
      <c r="A54" s="154">
        <v>53</v>
      </c>
      <c r="B54" s="189" t="s">
        <v>54</v>
      </c>
      <c r="C54" s="160" t="s">
        <v>11</v>
      </c>
      <c r="D54" s="163">
        <v>68</v>
      </c>
      <c r="E54" s="163" t="s">
        <v>431</v>
      </c>
      <c r="F54" s="160" t="s">
        <v>434</v>
      </c>
      <c r="G54" s="159">
        <v>8</v>
      </c>
      <c r="H54" s="156">
        <f t="shared" si="1"/>
        <v>8.5</v>
      </c>
      <c r="J54" s="157"/>
    </row>
    <row r="55" spans="1:10" ht="12.75" customHeight="1">
      <c r="A55" s="154">
        <v>54</v>
      </c>
      <c r="B55" s="175" t="s">
        <v>461</v>
      </c>
      <c r="C55" s="176" t="s">
        <v>11</v>
      </c>
      <c r="D55" s="182">
        <v>640</v>
      </c>
      <c r="E55" s="176" t="s">
        <v>431</v>
      </c>
      <c r="F55" s="176" t="s">
        <v>433</v>
      </c>
      <c r="G55" s="177">
        <v>128</v>
      </c>
      <c r="H55" s="156">
        <f t="shared" si="1"/>
        <v>5</v>
      </c>
    </row>
    <row r="56" spans="1:10" ht="12.75" customHeight="1">
      <c r="A56" s="154">
        <v>55</v>
      </c>
      <c r="B56" s="178" t="s">
        <v>58</v>
      </c>
      <c r="C56" s="179" t="s">
        <v>11</v>
      </c>
      <c r="D56" s="176">
        <v>110</v>
      </c>
      <c r="E56" s="176" t="s">
        <v>431</v>
      </c>
      <c r="F56" s="179" t="s">
        <v>433</v>
      </c>
      <c r="G56" s="177">
        <v>128</v>
      </c>
      <c r="H56" s="156">
        <f t="shared" si="1"/>
        <v>0.859375</v>
      </c>
      <c r="J56" s="157"/>
    </row>
    <row r="57" spans="1:10" ht="12.75" customHeight="1">
      <c r="A57" s="154">
        <v>56</v>
      </c>
      <c r="B57" s="178" t="s">
        <v>395</v>
      </c>
      <c r="C57" s="179" t="s">
        <v>11</v>
      </c>
      <c r="D57" s="176">
        <v>675</v>
      </c>
      <c r="E57" s="176" t="s">
        <v>431</v>
      </c>
      <c r="F57" s="179" t="s">
        <v>433</v>
      </c>
      <c r="G57" s="177">
        <v>128</v>
      </c>
      <c r="H57" s="156">
        <f t="shared" si="1"/>
        <v>5.2734375</v>
      </c>
      <c r="J57" s="157"/>
    </row>
    <row r="58" spans="1:10" ht="12.75" customHeight="1">
      <c r="A58" s="154">
        <v>57</v>
      </c>
      <c r="B58" s="178" t="s">
        <v>61</v>
      </c>
      <c r="C58" s="179" t="s">
        <v>11</v>
      </c>
      <c r="D58" s="176">
        <v>13</v>
      </c>
      <c r="E58" s="176" t="s">
        <v>433</v>
      </c>
      <c r="F58" s="179" t="s">
        <v>433</v>
      </c>
      <c r="G58" s="177">
        <v>1</v>
      </c>
      <c r="H58" s="156">
        <f t="shared" si="1"/>
        <v>13</v>
      </c>
      <c r="J58" s="157"/>
    </row>
    <row r="59" spans="1:10" ht="12.75" customHeight="1">
      <c r="A59" s="154">
        <v>58</v>
      </c>
      <c r="B59" s="175" t="s">
        <v>442</v>
      </c>
      <c r="C59" s="176" t="s">
        <v>22</v>
      </c>
      <c r="D59" s="182">
        <v>110</v>
      </c>
      <c r="E59" s="176" t="s">
        <v>431</v>
      </c>
      <c r="F59" s="176" t="s">
        <v>433</v>
      </c>
      <c r="G59" s="177">
        <v>128</v>
      </c>
      <c r="H59" s="156">
        <f t="shared" si="1"/>
        <v>0.859375</v>
      </c>
      <c r="J59" s="157"/>
    </row>
    <row r="60" spans="1:10" ht="12.75" customHeight="1">
      <c r="A60" s="154">
        <v>59</v>
      </c>
      <c r="B60" s="175" t="s">
        <v>467</v>
      </c>
      <c r="C60" s="176" t="s">
        <v>22</v>
      </c>
      <c r="D60" s="182">
        <v>140</v>
      </c>
      <c r="E60" s="176" t="s">
        <v>431</v>
      </c>
      <c r="F60" s="176" t="s">
        <v>433</v>
      </c>
      <c r="G60" s="177">
        <v>128</v>
      </c>
      <c r="H60" s="156">
        <f t="shared" si="1"/>
        <v>1.09375</v>
      </c>
      <c r="J60" s="157"/>
    </row>
    <row r="61" spans="1:10" ht="12.75" customHeight="1">
      <c r="A61" s="154">
        <v>60</v>
      </c>
      <c r="B61" s="178" t="s">
        <v>46</v>
      </c>
      <c r="C61" s="179" t="s">
        <v>22</v>
      </c>
      <c r="D61" s="180">
        <v>2.2000000000000002</v>
      </c>
      <c r="E61" s="181" t="s">
        <v>432</v>
      </c>
      <c r="F61" s="179" t="s">
        <v>432</v>
      </c>
      <c r="G61" s="177">
        <v>1</v>
      </c>
      <c r="H61" s="156">
        <f t="shared" si="1"/>
        <v>2.2000000000000002</v>
      </c>
      <c r="J61" s="157"/>
    </row>
    <row r="62" spans="1:10" ht="12.75" customHeight="1">
      <c r="A62" s="154">
        <v>61</v>
      </c>
      <c r="B62" s="178" t="s">
        <v>47</v>
      </c>
      <c r="C62" s="179" t="s">
        <v>22</v>
      </c>
      <c r="D62" s="180">
        <v>47</v>
      </c>
      <c r="E62" s="181" t="s">
        <v>431</v>
      </c>
      <c r="F62" s="183" t="s">
        <v>434</v>
      </c>
      <c r="G62" s="177">
        <v>8</v>
      </c>
      <c r="H62" s="156">
        <f t="shared" si="1"/>
        <v>5.875</v>
      </c>
      <c r="J62" s="157"/>
    </row>
    <row r="63" spans="1:10" ht="12.75" customHeight="1">
      <c r="A63" s="154">
        <v>62</v>
      </c>
      <c r="B63" s="178" t="s">
        <v>466</v>
      </c>
      <c r="C63" s="179" t="s">
        <v>22</v>
      </c>
      <c r="D63" s="180">
        <v>235</v>
      </c>
      <c r="E63" s="181" t="s">
        <v>431</v>
      </c>
      <c r="F63" s="179" t="s">
        <v>433</v>
      </c>
      <c r="G63" s="177">
        <v>128</v>
      </c>
      <c r="H63" s="156">
        <f t="shared" si="1"/>
        <v>1.8359375</v>
      </c>
    </row>
    <row r="64" spans="1:10" ht="12.75" customHeight="1">
      <c r="A64" s="154">
        <v>63</v>
      </c>
      <c r="B64" s="178" t="s">
        <v>55</v>
      </c>
      <c r="C64" s="179" t="s">
        <v>22</v>
      </c>
      <c r="D64" s="180">
        <v>7.15</v>
      </c>
      <c r="E64" s="181" t="s">
        <v>433</v>
      </c>
      <c r="F64" s="179" t="s">
        <v>433</v>
      </c>
      <c r="G64" s="177">
        <v>1</v>
      </c>
      <c r="H64" s="156">
        <f t="shared" si="1"/>
        <v>7.15</v>
      </c>
    </row>
    <row r="65" spans="1:10" ht="12.75" customHeight="1">
      <c r="A65" s="154">
        <v>64</v>
      </c>
      <c r="B65" s="178" t="s">
        <v>423</v>
      </c>
      <c r="C65" s="179" t="s">
        <v>22</v>
      </c>
      <c r="D65" s="180">
        <v>470</v>
      </c>
      <c r="E65" s="181" t="s">
        <v>431</v>
      </c>
      <c r="F65" s="179" t="s">
        <v>433</v>
      </c>
      <c r="G65" s="177">
        <v>128</v>
      </c>
      <c r="H65" s="156">
        <f t="shared" si="1"/>
        <v>3.671875</v>
      </c>
    </row>
    <row r="66" spans="1:10" ht="12.75" customHeight="1">
      <c r="A66" s="154">
        <v>65</v>
      </c>
      <c r="B66" s="178" t="s">
        <v>31</v>
      </c>
      <c r="C66" s="179" t="s">
        <v>32</v>
      </c>
      <c r="D66" s="180">
        <v>3.65</v>
      </c>
      <c r="E66" s="181" t="s">
        <v>79</v>
      </c>
      <c r="F66" s="179" t="s">
        <v>79</v>
      </c>
      <c r="G66" s="177">
        <v>1</v>
      </c>
      <c r="H66" s="156">
        <f t="shared" ref="H66:H97" si="2">IF(G66=0,0,D66/G66)</f>
        <v>3.65</v>
      </c>
    </row>
    <row r="67" spans="1:10" ht="12.75" customHeight="1">
      <c r="A67" s="154">
        <v>66</v>
      </c>
      <c r="B67" s="178" t="s">
        <v>34</v>
      </c>
      <c r="C67" s="179" t="s">
        <v>32</v>
      </c>
      <c r="D67" s="180">
        <v>260</v>
      </c>
      <c r="E67" s="181" t="s">
        <v>83</v>
      </c>
      <c r="F67" s="179" t="s">
        <v>79</v>
      </c>
      <c r="G67" s="177">
        <v>130</v>
      </c>
      <c r="H67" s="156">
        <f t="shared" si="2"/>
        <v>2</v>
      </c>
      <c r="J67" s="157"/>
    </row>
    <row r="68" spans="1:10" ht="12.75" customHeight="1">
      <c r="A68" s="154">
        <v>67</v>
      </c>
      <c r="B68" s="178" t="s">
        <v>49</v>
      </c>
      <c r="C68" s="179" t="s">
        <v>32</v>
      </c>
      <c r="D68" s="180">
        <v>12</v>
      </c>
      <c r="E68" s="181" t="s">
        <v>436</v>
      </c>
      <c r="F68" s="179" t="s">
        <v>436</v>
      </c>
      <c r="G68" s="177">
        <v>1</v>
      </c>
      <c r="H68" s="156">
        <f t="shared" si="2"/>
        <v>12</v>
      </c>
      <c r="J68" s="157"/>
    </row>
    <row r="69" spans="1:10" ht="12.75" customHeight="1">
      <c r="A69" s="154">
        <v>68</v>
      </c>
      <c r="B69" s="178" t="s">
        <v>66</v>
      </c>
      <c r="C69" s="179" t="s">
        <v>32</v>
      </c>
      <c r="D69" s="180">
        <v>0.75</v>
      </c>
      <c r="E69" s="181" t="s">
        <v>80</v>
      </c>
      <c r="F69" s="179" t="s">
        <v>72</v>
      </c>
      <c r="G69" s="177">
        <f>1517/2000</f>
        <v>0.75849999999999995</v>
      </c>
      <c r="H69" s="156">
        <f t="shared" si="2"/>
        <v>0.98879367172050103</v>
      </c>
      <c r="J69" s="157"/>
    </row>
    <row r="70" spans="1:10" ht="12.75" customHeight="1">
      <c r="A70" s="154">
        <v>69</v>
      </c>
      <c r="B70" s="178" t="s">
        <v>67</v>
      </c>
      <c r="C70" s="179" t="s">
        <v>32</v>
      </c>
      <c r="D70" s="180">
        <v>0.5</v>
      </c>
      <c r="E70" s="181" t="s">
        <v>80</v>
      </c>
      <c r="F70" s="179" t="s">
        <v>72</v>
      </c>
      <c r="G70" s="177">
        <f>1313/2000</f>
        <v>0.65649999999999997</v>
      </c>
      <c r="H70" s="156">
        <f t="shared" si="2"/>
        <v>0.76161462300076166</v>
      </c>
    </row>
    <row r="71" spans="1:10" ht="12.75" customHeight="1">
      <c r="A71" s="154">
        <v>70</v>
      </c>
      <c r="B71" s="178" t="s">
        <v>68</v>
      </c>
      <c r="C71" s="179" t="s">
        <v>32</v>
      </c>
      <c r="D71" s="180">
        <v>0.16</v>
      </c>
      <c r="E71" s="181" t="s">
        <v>80</v>
      </c>
      <c r="F71" s="179" t="s">
        <v>72</v>
      </c>
      <c r="G71" s="177">
        <f>62/2000</f>
        <v>3.1E-2</v>
      </c>
      <c r="H71" s="156">
        <f t="shared" si="2"/>
        <v>5.161290322580645</v>
      </c>
    </row>
    <row r="72" spans="1:10" ht="12.75" customHeight="1">
      <c r="A72" s="154">
        <v>71</v>
      </c>
      <c r="B72" s="178" t="s">
        <v>70</v>
      </c>
      <c r="C72" s="179" t="s">
        <v>32</v>
      </c>
      <c r="D72" s="180">
        <v>40</v>
      </c>
      <c r="E72" s="181" t="s">
        <v>79</v>
      </c>
      <c r="F72" s="179" t="s">
        <v>79</v>
      </c>
      <c r="G72" s="177">
        <v>1</v>
      </c>
      <c r="H72" s="156">
        <f t="shared" si="2"/>
        <v>40</v>
      </c>
    </row>
    <row r="73" spans="1:10" ht="12.75" customHeight="1">
      <c r="A73" s="154">
        <v>72</v>
      </c>
      <c r="B73" s="178" t="s">
        <v>37</v>
      </c>
      <c r="C73" s="179" t="s">
        <v>38</v>
      </c>
      <c r="D73" s="180">
        <v>10</v>
      </c>
      <c r="E73" s="181" t="s">
        <v>79</v>
      </c>
      <c r="F73" s="179" t="s">
        <v>79</v>
      </c>
      <c r="G73" s="177">
        <v>1</v>
      </c>
      <c r="H73" s="156">
        <f t="shared" si="2"/>
        <v>10</v>
      </c>
    </row>
    <row r="74" spans="1:10" ht="12.75" customHeight="1">
      <c r="A74" s="154">
        <v>73</v>
      </c>
      <c r="B74" s="178" t="s">
        <v>57</v>
      </c>
      <c r="C74" s="179" t="s">
        <v>38</v>
      </c>
      <c r="D74" s="180">
        <v>12</v>
      </c>
      <c r="E74" s="181" t="s">
        <v>79</v>
      </c>
      <c r="F74" s="179" t="s">
        <v>79</v>
      </c>
      <c r="G74" s="177">
        <v>1</v>
      </c>
      <c r="H74" s="156">
        <f t="shared" si="2"/>
        <v>12</v>
      </c>
      <c r="J74" s="157"/>
    </row>
    <row r="75" spans="1:10" ht="12.75" customHeight="1">
      <c r="A75" s="154">
        <v>74</v>
      </c>
      <c r="B75" s="175" t="s">
        <v>447</v>
      </c>
      <c r="C75" s="176" t="s">
        <v>405</v>
      </c>
      <c r="D75" s="182">
        <v>12</v>
      </c>
      <c r="E75" s="176" t="s">
        <v>79</v>
      </c>
      <c r="F75" s="176" t="s">
        <v>79</v>
      </c>
      <c r="G75" s="177">
        <v>1</v>
      </c>
      <c r="H75" s="156">
        <f t="shared" si="2"/>
        <v>12</v>
      </c>
      <c r="J75" s="157"/>
    </row>
    <row r="76" spans="1:10" ht="12.75" customHeight="1">
      <c r="A76" s="154">
        <v>75</v>
      </c>
      <c r="B76" s="175" t="s">
        <v>449</v>
      </c>
      <c r="C76" s="176" t="s">
        <v>405</v>
      </c>
      <c r="D76" s="182">
        <v>8</v>
      </c>
      <c r="E76" s="176" t="s">
        <v>79</v>
      </c>
      <c r="F76" s="176" t="s">
        <v>79</v>
      </c>
      <c r="G76" s="177">
        <v>1</v>
      </c>
      <c r="H76" s="156">
        <f t="shared" si="2"/>
        <v>8</v>
      </c>
      <c r="J76" s="157"/>
    </row>
    <row r="77" spans="1:10">
      <c r="A77" s="154">
        <v>76</v>
      </c>
      <c r="B77" s="175" t="s">
        <v>445</v>
      </c>
      <c r="C77" s="176" t="s">
        <v>405</v>
      </c>
      <c r="D77" s="176">
        <v>10</v>
      </c>
      <c r="E77" s="176" t="s">
        <v>79</v>
      </c>
      <c r="F77" s="176" t="s">
        <v>79</v>
      </c>
      <c r="G77" s="177">
        <v>1</v>
      </c>
      <c r="H77" s="156">
        <f t="shared" si="2"/>
        <v>10</v>
      </c>
      <c r="J77" s="157"/>
    </row>
    <row r="78" spans="1:10">
      <c r="A78" s="154">
        <v>77</v>
      </c>
      <c r="B78" s="175" t="s">
        <v>446</v>
      </c>
      <c r="C78" s="176" t="s">
        <v>405</v>
      </c>
      <c r="D78" s="182">
        <v>10</v>
      </c>
      <c r="E78" s="176" t="s">
        <v>79</v>
      </c>
      <c r="F78" s="176" t="s">
        <v>79</v>
      </c>
      <c r="G78" s="177">
        <v>1</v>
      </c>
      <c r="H78" s="156">
        <f t="shared" si="2"/>
        <v>10</v>
      </c>
      <c r="J78" s="157"/>
    </row>
    <row r="79" spans="1:10">
      <c r="A79" s="154">
        <v>78</v>
      </c>
      <c r="B79" s="175" t="s">
        <v>478</v>
      </c>
      <c r="C79" s="176" t="s">
        <v>405</v>
      </c>
      <c r="D79" s="182">
        <v>10</v>
      </c>
      <c r="E79" s="176" t="s">
        <v>79</v>
      </c>
      <c r="F79" s="176" t="s">
        <v>79</v>
      </c>
      <c r="G79" s="177">
        <v>1</v>
      </c>
      <c r="H79" s="156">
        <f t="shared" si="2"/>
        <v>10</v>
      </c>
      <c r="J79" s="157"/>
    </row>
    <row r="80" spans="1:10">
      <c r="A80" s="154">
        <v>79</v>
      </c>
      <c r="B80" s="175" t="s">
        <v>483</v>
      </c>
      <c r="C80" s="176" t="s">
        <v>405</v>
      </c>
      <c r="D80" s="182">
        <v>10</v>
      </c>
      <c r="E80" s="176" t="s">
        <v>79</v>
      </c>
      <c r="F80" s="176" t="s">
        <v>79</v>
      </c>
      <c r="G80" s="177">
        <v>1</v>
      </c>
      <c r="H80" s="156">
        <f t="shared" si="2"/>
        <v>10</v>
      </c>
    </row>
    <row r="81" spans="1:10">
      <c r="A81" s="154">
        <v>80</v>
      </c>
      <c r="B81" s="175" t="s">
        <v>448</v>
      </c>
      <c r="C81" s="176" t="s">
        <v>405</v>
      </c>
      <c r="D81" s="182">
        <v>16</v>
      </c>
      <c r="E81" s="176" t="s">
        <v>79</v>
      </c>
      <c r="F81" s="176" t="s">
        <v>79</v>
      </c>
      <c r="G81" s="177">
        <v>1</v>
      </c>
      <c r="H81" s="156">
        <f t="shared" si="2"/>
        <v>16</v>
      </c>
      <c r="J81" s="157"/>
    </row>
    <row r="82" spans="1:10">
      <c r="A82" s="154">
        <v>81</v>
      </c>
      <c r="B82" s="190" t="s">
        <v>450</v>
      </c>
      <c r="C82" s="160" t="s">
        <v>405</v>
      </c>
      <c r="D82" s="161">
        <v>8</v>
      </c>
      <c r="E82" s="162" t="s">
        <v>79</v>
      </c>
      <c r="F82" s="160" t="s">
        <v>79</v>
      </c>
      <c r="G82" s="159">
        <v>1</v>
      </c>
      <c r="H82" s="156">
        <f t="shared" si="2"/>
        <v>8</v>
      </c>
      <c r="J82" s="157"/>
    </row>
    <row r="83" spans="1:10">
      <c r="A83" s="154">
        <v>82</v>
      </c>
      <c r="B83" s="178" t="s">
        <v>18</v>
      </c>
      <c r="C83" s="179" t="s">
        <v>19</v>
      </c>
      <c r="D83" s="180">
        <v>5</v>
      </c>
      <c r="E83" s="181" t="s">
        <v>432</v>
      </c>
      <c r="F83" s="179" t="s">
        <v>432</v>
      </c>
      <c r="G83" s="177">
        <v>1</v>
      </c>
      <c r="H83" s="156">
        <f t="shared" si="2"/>
        <v>5</v>
      </c>
      <c r="J83" s="157"/>
    </row>
    <row r="84" spans="1:10">
      <c r="A84" s="154">
        <v>83</v>
      </c>
      <c r="B84" s="178" t="s">
        <v>24</v>
      </c>
      <c r="C84" s="179" t="s">
        <v>19</v>
      </c>
      <c r="D84" s="180">
        <v>185</v>
      </c>
      <c r="E84" s="181" t="s">
        <v>84</v>
      </c>
      <c r="F84" s="179" t="s">
        <v>84</v>
      </c>
      <c r="G84" s="177">
        <v>1</v>
      </c>
      <c r="H84" s="156">
        <f t="shared" si="2"/>
        <v>185</v>
      </c>
      <c r="J84" s="157"/>
    </row>
    <row r="85" spans="1:10">
      <c r="A85" s="154">
        <v>84</v>
      </c>
      <c r="B85" s="178" t="s">
        <v>25</v>
      </c>
      <c r="C85" s="179" t="s">
        <v>19</v>
      </c>
      <c r="D85" s="180">
        <v>215</v>
      </c>
      <c r="E85" s="181" t="s">
        <v>84</v>
      </c>
      <c r="F85" s="179" t="s">
        <v>84</v>
      </c>
      <c r="G85" s="177">
        <v>1</v>
      </c>
      <c r="H85" s="156">
        <f t="shared" si="2"/>
        <v>215</v>
      </c>
      <c r="J85" s="157"/>
    </row>
    <row r="86" spans="1:10" ht="14.25" customHeight="1">
      <c r="A86" s="154">
        <v>85</v>
      </c>
      <c r="B86" s="178" t="s">
        <v>26</v>
      </c>
      <c r="C86" s="179" t="s">
        <v>19</v>
      </c>
      <c r="D86" s="180">
        <v>235</v>
      </c>
      <c r="E86" s="181" t="s">
        <v>84</v>
      </c>
      <c r="F86" s="179" t="s">
        <v>84</v>
      </c>
      <c r="G86" s="177">
        <v>1</v>
      </c>
      <c r="H86" s="156">
        <f t="shared" si="2"/>
        <v>235</v>
      </c>
      <c r="J86" s="157"/>
    </row>
    <row r="87" spans="1:10">
      <c r="A87" s="154">
        <v>86</v>
      </c>
      <c r="B87" s="175" t="s">
        <v>420</v>
      </c>
      <c r="C87" s="176" t="s">
        <v>19</v>
      </c>
      <c r="D87" s="182">
        <v>325</v>
      </c>
      <c r="E87" s="176" t="s">
        <v>84</v>
      </c>
      <c r="F87" s="179" t="s">
        <v>84</v>
      </c>
      <c r="G87" s="177">
        <v>1</v>
      </c>
      <c r="H87" s="156">
        <f t="shared" si="2"/>
        <v>325</v>
      </c>
      <c r="J87" s="157"/>
    </row>
    <row r="88" spans="1:10">
      <c r="A88" s="154">
        <v>87</v>
      </c>
      <c r="B88" s="178" t="s">
        <v>30</v>
      </c>
      <c r="C88" s="179" t="s">
        <v>19</v>
      </c>
      <c r="D88" s="180">
        <v>92</v>
      </c>
      <c r="E88" s="181" t="s">
        <v>81</v>
      </c>
      <c r="F88" s="179" t="s">
        <v>79</v>
      </c>
      <c r="G88" s="177">
        <f>1/0.6</f>
        <v>1.6666666666666667</v>
      </c>
      <c r="H88" s="156">
        <f t="shared" si="2"/>
        <v>55.199999999999996</v>
      </c>
      <c r="J88" s="157"/>
    </row>
    <row r="89" spans="1:10" ht="15" customHeight="1">
      <c r="A89" s="154">
        <v>88</v>
      </c>
      <c r="B89" s="178" t="s">
        <v>39</v>
      </c>
      <c r="C89" s="179" t="s">
        <v>19</v>
      </c>
      <c r="D89" s="180">
        <v>40</v>
      </c>
      <c r="E89" s="181" t="s">
        <v>79</v>
      </c>
      <c r="F89" s="179" t="s">
        <v>79</v>
      </c>
      <c r="G89" s="177">
        <v>1</v>
      </c>
      <c r="H89" s="156">
        <f t="shared" si="2"/>
        <v>40</v>
      </c>
    </row>
    <row r="90" spans="1:10">
      <c r="A90" s="154">
        <v>89</v>
      </c>
      <c r="B90" s="178" t="s">
        <v>48</v>
      </c>
      <c r="C90" s="179" t="s">
        <v>19</v>
      </c>
      <c r="D90" s="180">
        <v>0.6</v>
      </c>
      <c r="E90" s="181" t="s">
        <v>432</v>
      </c>
      <c r="F90" s="179" t="s">
        <v>432</v>
      </c>
      <c r="G90" s="177">
        <v>1</v>
      </c>
      <c r="H90" s="156">
        <f t="shared" si="2"/>
        <v>0.6</v>
      </c>
      <c r="J90" s="157"/>
    </row>
    <row r="91" spans="1:10">
      <c r="A91" s="154">
        <v>90</v>
      </c>
      <c r="B91" s="185" t="s">
        <v>51</v>
      </c>
      <c r="C91" s="186" t="s">
        <v>19</v>
      </c>
      <c r="D91" s="187">
        <v>9</v>
      </c>
      <c r="E91" s="188" t="s">
        <v>430</v>
      </c>
      <c r="F91" s="186" t="s">
        <v>430</v>
      </c>
      <c r="G91" s="177">
        <v>1</v>
      </c>
      <c r="H91" s="156">
        <f t="shared" si="2"/>
        <v>9</v>
      </c>
      <c r="J91" s="157"/>
    </row>
    <row r="92" spans="1:10">
      <c r="A92" s="154">
        <v>91</v>
      </c>
      <c r="B92" s="185" t="s">
        <v>56</v>
      </c>
      <c r="C92" s="186" t="s">
        <v>19</v>
      </c>
      <c r="D92" s="187">
        <v>44</v>
      </c>
      <c r="E92" s="188" t="s">
        <v>84</v>
      </c>
      <c r="F92" s="186" t="s">
        <v>84</v>
      </c>
      <c r="G92" s="177">
        <v>1</v>
      </c>
      <c r="H92" s="156">
        <f t="shared" si="2"/>
        <v>44</v>
      </c>
      <c r="J92" s="157"/>
    </row>
    <row r="93" spans="1:10">
      <c r="A93" s="154">
        <v>92</v>
      </c>
      <c r="B93" s="191" t="s">
        <v>59</v>
      </c>
      <c r="C93" s="179" t="s">
        <v>19</v>
      </c>
      <c r="D93" s="187">
        <v>3.4</v>
      </c>
      <c r="E93" s="188" t="s">
        <v>432</v>
      </c>
      <c r="F93" s="179" t="s">
        <v>432</v>
      </c>
      <c r="G93" s="177">
        <v>1</v>
      </c>
      <c r="H93" s="156">
        <f t="shared" si="2"/>
        <v>3.4</v>
      </c>
      <c r="J93" s="157"/>
    </row>
    <row r="94" spans="1:10">
      <c r="A94" s="154">
        <v>93</v>
      </c>
      <c r="B94" s="192" t="s">
        <v>60</v>
      </c>
      <c r="C94" s="179" t="s">
        <v>19</v>
      </c>
      <c r="D94" s="187">
        <v>1.3</v>
      </c>
      <c r="E94" s="188" t="s">
        <v>432</v>
      </c>
      <c r="F94" s="179" t="s">
        <v>432</v>
      </c>
      <c r="G94" s="177">
        <v>1</v>
      </c>
      <c r="H94" s="156">
        <f t="shared" si="2"/>
        <v>1.3</v>
      </c>
      <c r="J94" s="157"/>
    </row>
    <row r="95" spans="1:10">
      <c r="A95" s="154">
        <v>94</v>
      </c>
      <c r="B95" s="185" t="s">
        <v>63</v>
      </c>
      <c r="C95" s="186" t="s">
        <v>19</v>
      </c>
      <c r="D95" s="187">
        <v>172</v>
      </c>
      <c r="E95" s="188" t="s">
        <v>79</v>
      </c>
      <c r="F95" s="186" t="s">
        <v>79</v>
      </c>
      <c r="G95" s="177">
        <v>1</v>
      </c>
      <c r="H95" s="156">
        <f t="shared" si="2"/>
        <v>172</v>
      </c>
      <c r="J95" s="157"/>
    </row>
    <row r="96" spans="1:10">
      <c r="A96" s="154">
        <v>95</v>
      </c>
      <c r="B96" s="192" t="s">
        <v>64</v>
      </c>
      <c r="C96" s="179" t="s">
        <v>19</v>
      </c>
      <c r="D96" s="180">
        <v>4</v>
      </c>
      <c r="E96" s="181" t="s">
        <v>432</v>
      </c>
      <c r="F96" s="179" t="s">
        <v>432</v>
      </c>
      <c r="G96" s="177">
        <v>1</v>
      </c>
      <c r="H96" s="156">
        <f t="shared" si="2"/>
        <v>4</v>
      </c>
      <c r="J96" s="157"/>
    </row>
    <row r="97" spans="1:10">
      <c r="A97" s="154">
        <v>96</v>
      </c>
      <c r="B97" s="192" t="s">
        <v>71</v>
      </c>
      <c r="C97" s="179" t="s">
        <v>19</v>
      </c>
      <c r="D97" s="180">
        <v>0.17</v>
      </c>
      <c r="E97" s="181" t="s">
        <v>432</v>
      </c>
      <c r="F97" s="179" t="s">
        <v>432</v>
      </c>
      <c r="G97" s="177">
        <v>1</v>
      </c>
      <c r="H97" s="156">
        <f t="shared" si="2"/>
        <v>0.17</v>
      </c>
      <c r="J97" s="157"/>
    </row>
    <row r="98" spans="1:10">
      <c r="A98" s="154">
        <v>97</v>
      </c>
      <c r="B98" s="75" t="s">
        <v>43</v>
      </c>
      <c r="C98" s="75" t="s">
        <v>44</v>
      </c>
      <c r="D98" s="166">
        <v>410</v>
      </c>
      <c r="E98" s="75" t="s">
        <v>431</v>
      </c>
      <c r="F98" s="168" t="s">
        <v>433</v>
      </c>
      <c r="G98" s="159">
        <v>128</v>
      </c>
      <c r="H98" s="156">
        <f t="shared" ref="H98:H112" si="3">IF(G98=0,0,D98/G98)</f>
        <v>3.203125</v>
      </c>
      <c r="J98" s="157"/>
    </row>
    <row r="99" spans="1:10">
      <c r="A99" s="154">
        <v>98</v>
      </c>
      <c r="B99" s="170"/>
      <c r="C99" s="168"/>
      <c r="D99" s="164"/>
      <c r="E99" s="165"/>
      <c r="F99" s="168"/>
      <c r="G99" s="159"/>
      <c r="H99" s="156">
        <f t="shared" si="3"/>
        <v>0</v>
      </c>
      <c r="J99" s="157"/>
    </row>
    <row r="100" spans="1:10">
      <c r="A100" s="154">
        <v>99</v>
      </c>
      <c r="B100" s="170"/>
      <c r="C100" s="168"/>
      <c r="D100" s="164"/>
      <c r="E100" s="165"/>
      <c r="F100" s="168"/>
      <c r="G100" s="159"/>
      <c r="H100" s="156">
        <f t="shared" si="3"/>
        <v>0</v>
      </c>
      <c r="J100" s="157"/>
    </row>
    <row r="101" spans="1:10">
      <c r="A101" s="154">
        <v>100</v>
      </c>
      <c r="B101" s="170"/>
      <c r="C101" s="168"/>
      <c r="D101" s="164"/>
      <c r="E101" s="165"/>
      <c r="F101" s="168"/>
      <c r="G101" s="159"/>
      <c r="H101" s="156">
        <f t="shared" si="3"/>
        <v>0</v>
      </c>
      <c r="J101" s="157"/>
    </row>
    <row r="102" spans="1:10">
      <c r="A102" s="154">
        <v>101</v>
      </c>
      <c r="B102" s="170"/>
      <c r="C102" s="168"/>
      <c r="D102" s="164"/>
      <c r="E102" s="165"/>
      <c r="F102" s="168"/>
      <c r="G102" s="159"/>
      <c r="H102" s="156">
        <f t="shared" si="3"/>
        <v>0</v>
      </c>
      <c r="J102" s="157"/>
    </row>
    <row r="103" spans="1:10">
      <c r="A103" s="154">
        <v>102</v>
      </c>
      <c r="B103" s="169"/>
      <c r="C103" s="169"/>
      <c r="D103" s="166"/>
      <c r="E103" s="169"/>
      <c r="F103" s="169"/>
      <c r="G103" s="159"/>
      <c r="H103" s="156">
        <f t="shared" si="3"/>
        <v>0</v>
      </c>
      <c r="J103" s="157"/>
    </row>
    <row r="104" spans="1:10">
      <c r="A104" s="154">
        <v>103</v>
      </c>
      <c r="B104" s="170"/>
      <c r="C104" s="168"/>
      <c r="D104" s="164"/>
      <c r="E104" s="165"/>
      <c r="F104" s="168"/>
      <c r="G104" s="159"/>
      <c r="H104" s="156">
        <f t="shared" si="3"/>
        <v>0</v>
      </c>
      <c r="J104" s="157"/>
    </row>
    <row r="105" spans="1:10">
      <c r="A105" s="154">
        <v>104</v>
      </c>
      <c r="B105" s="170"/>
      <c r="C105" s="168"/>
      <c r="D105" s="164"/>
      <c r="E105" s="165"/>
      <c r="F105" s="168"/>
      <c r="G105" s="159"/>
      <c r="H105" s="156">
        <f t="shared" si="3"/>
        <v>0</v>
      </c>
      <c r="J105" s="157"/>
    </row>
    <row r="106" spans="1:10">
      <c r="A106" s="154">
        <v>105</v>
      </c>
      <c r="B106" s="170"/>
      <c r="C106" s="168"/>
      <c r="D106" s="164"/>
      <c r="E106" s="165"/>
      <c r="F106" s="168"/>
      <c r="G106" s="159"/>
      <c r="H106" s="156">
        <f t="shared" si="3"/>
        <v>0</v>
      </c>
      <c r="J106" s="157"/>
    </row>
    <row r="107" spans="1:10">
      <c r="A107" s="154">
        <v>106</v>
      </c>
      <c r="B107" s="169"/>
      <c r="C107" s="169"/>
      <c r="D107" s="166"/>
      <c r="E107" s="169"/>
      <c r="F107" s="168"/>
      <c r="G107" s="159"/>
      <c r="H107" s="156">
        <f t="shared" si="3"/>
        <v>0</v>
      </c>
      <c r="J107" s="157"/>
    </row>
    <row r="108" spans="1:10">
      <c r="A108" s="154">
        <v>107</v>
      </c>
      <c r="B108" s="170"/>
      <c r="C108" s="168"/>
      <c r="D108" s="164"/>
      <c r="E108" s="165"/>
      <c r="F108" s="168"/>
      <c r="G108" s="159"/>
      <c r="H108" s="156">
        <f t="shared" si="3"/>
        <v>0</v>
      </c>
      <c r="J108" s="157"/>
    </row>
    <row r="109" spans="1:10">
      <c r="A109" s="154">
        <v>108</v>
      </c>
      <c r="B109" s="170"/>
      <c r="C109" s="168"/>
      <c r="D109" s="164"/>
      <c r="E109" s="165"/>
      <c r="F109" s="168"/>
      <c r="G109" s="159"/>
      <c r="H109" s="156">
        <f t="shared" si="3"/>
        <v>0</v>
      </c>
      <c r="J109" s="157"/>
    </row>
    <row r="110" spans="1:10">
      <c r="A110" s="154">
        <v>109</v>
      </c>
      <c r="B110" s="170"/>
      <c r="C110" s="168"/>
      <c r="D110" s="164"/>
      <c r="E110" s="165"/>
      <c r="F110" s="168"/>
      <c r="G110" s="159"/>
      <c r="H110" s="156">
        <f t="shared" si="3"/>
        <v>0</v>
      </c>
      <c r="J110" s="157"/>
    </row>
    <row r="111" spans="1:10">
      <c r="A111" s="154">
        <v>110</v>
      </c>
      <c r="B111" s="169"/>
      <c r="C111" s="169"/>
      <c r="D111" s="166"/>
      <c r="E111" s="169"/>
      <c r="F111" s="169"/>
      <c r="G111" s="159"/>
      <c r="H111" s="156">
        <f t="shared" si="3"/>
        <v>0</v>
      </c>
    </row>
    <row r="112" spans="1:10">
      <c r="A112" s="154">
        <v>111</v>
      </c>
      <c r="B112" s="169"/>
      <c r="C112" s="169"/>
      <c r="D112" s="166"/>
      <c r="E112" s="169"/>
      <c r="F112" s="169"/>
      <c r="G112" s="159"/>
      <c r="H112" s="156">
        <f t="shared" si="3"/>
        <v>0</v>
      </c>
    </row>
    <row r="113" spans="1:8">
      <c r="A113" s="154">
        <v>112</v>
      </c>
      <c r="B113" s="170"/>
      <c r="C113" s="168"/>
      <c r="D113" s="164"/>
      <c r="E113" s="165"/>
      <c r="F113" s="168"/>
      <c r="G113" s="159"/>
      <c r="H113" s="156"/>
    </row>
    <row r="114" spans="1:8">
      <c r="A114" s="154">
        <v>113</v>
      </c>
      <c r="B114" s="169"/>
      <c r="C114" s="169"/>
      <c r="D114" s="166"/>
      <c r="E114" s="169"/>
      <c r="F114" s="169"/>
      <c r="G114" s="159"/>
      <c r="H114" s="156">
        <f t="shared" ref="H114:H121" si="4">IF(G114=0,0,D114/G114)</f>
        <v>0</v>
      </c>
    </row>
    <row r="115" spans="1:8">
      <c r="A115" s="154">
        <v>114</v>
      </c>
      <c r="B115" s="169"/>
      <c r="C115" s="169"/>
      <c r="D115" s="166"/>
      <c r="E115" s="169"/>
      <c r="F115" s="169"/>
      <c r="G115" s="159"/>
      <c r="H115" s="156">
        <f t="shared" si="4"/>
        <v>0</v>
      </c>
    </row>
    <row r="116" spans="1:8">
      <c r="A116" s="154">
        <v>115</v>
      </c>
      <c r="B116" s="169"/>
      <c r="C116" s="169"/>
      <c r="D116" s="166"/>
      <c r="E116" s="169"/>
      <c r="F116" s="169"/>
      <c r="G116" s="159"/>
      <c r="H116" s="156">
        <f t="shared" si="4"/>
        <v>0</v>
      </c>
    </row>
    <row r="117" spans="1:8">
      <c r="A117" s="154">
        <v>116</v>
      </c>
      <c r="B117" s="169"/>
      <c r="C117" s="169"/>
      <c r="D117" s="166"/>
      <c r="E117" s="169"/>
      <c r="F117" s="169"/>
      <c r="G117" s="159"/>
      <c r="H117" s="156">
        <f t="shared" si="4"/>
        <v>0</v>
      </c>
    </row>
    <row r="118" spans="1:8">
      <c r="A118" s="154">
        <v>117</v>
      </c>
      <c r="B118" s="169"/>
      <c r="C118" s="169"/>
      <c r="D118" s="166"/>
      <c r="E118" s="169"/>
      <c r="F118" s="169"/>
      <c r="G118" s="159"/>
      <c r="H118" s="156">
        <f t="shared" si="4"/>
        <v>0</v>
      </c>
    </row>
    <row r="119" spans="1:8">
      <c r="A119" s="154">
        <v>118</v>
      </c>
      <c r="B119" s="169"/>
      <c r="C119" s="169"/>
      <c r="D119" s="166"/>
      <c r="E119" s="169"/>
      <c r="F119" s="169"/>
      <c r="G119" s="159"/>
      <c r="H119" s="156">
        <f t="shared" si="4"/>
        <v>0</v>
      </c>
    </row>
    <row r="120" spans="1:8">
      <c r="A120" s="154">
        <v>119</v>
      </c>
      <c r="B120" s="169"/>
      <c r="C120" s="169"/>
      <c r="D120" s="166"/>
      <c r="E120" s="169"/>
      <c r="F120" s="169"/>
      <c r="G120" s="159"/>
      <c r="H120" s="156">
        <f t="shared" si="4"/>
        <v>0</v>
      </c>
    </row>
    <row r="121" spans="1:8">
      <c r="A121" s="154">
        <v>120</v>
      </c>
      <c r="B121" s="169"/>
      <c r="C121" s="169"/>
      <c r="D121" s="166"/>
      <c r="E121" s="169"/>
      <c r="F121" s="169"/>
      <c r="G121" s="159"/>
      <c r="H121" s="156">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34">
    <pageSetUpPr fitToPage="1"/>
  </sheetPr>
  <dimension ref="A2:O226"/>
  <sheetViews>
    <sheetView showZeros="0" workbookViewId="0">
      <selection activeCell="F35" sqref="F35:H59"/>
    </sheetView>
  </sheetViews>
  <sheetFormatPr defaultRowHeight="12.75"/>
  <cols>
    <col min="1" max="1" width="5.140625" style="9" customWidth="1"/>
    <col min="2" max="2" width="24" style="9" customWidth="1"/>
    <col min="3" max="3" width="7.28515625" style="9" customWidth="1"/>
    <col min="4" max="4" width="4.7109375" style="9" customWidth="1"/>
    <col min="5" max="5" width="9.140625" style="9"/>
    <col min="6" max="6" width="11.140625" style="9" customWidth="1"/>
    <col min="7" max="7" width="8" style="9" customWidth="1"/>
    <col min="8" max="8" width="7.7109375" style="9" customWidth="1"/>
    <col min="9" max="9" width="9.140625" style="9" customWidth="1"/>
    <col min="10" max="10" width="9.140625" style="9"/>
    <col min="11" max="11" width="8.7109375" style="9" customWidth="1"/>
    <col min="12" max="16384" width="9.140625" style="9"/>
  </cols>
  <sheetData>
    <row r="2" spans="1:15" ht="14.25" hidden="1" customHeight="1">
      <c r="A2" s="197" t="s">
        <v>465</v>
      </c>
      <c r="B2" s="23"/>
      <c r="C2" s="21"/>
      <c r="D2" s="21"/>
      <c r="E2" s="23"/>
      <c r="F2" s="21"/>
      <c r="G2" s="21"/>
      <c r="H2" s="205" t="s">
        <v>499</v>
      </c>
      <c r="I2" s="23"/>
      <c r="J2" s="24"/>
      <c r="K2" s="30" t="str">
        <f>'General Variables'!A1&amp;" "&amp;'General Variables'!B1</f>
        <v>Year 2012</v>
      </c>
      <c r="O2" s="22" t="s">
        <v>460</v>
      </c>
    </row>
    <row r="3" spans="1:15" hidden="1">
      <c r="A3" s="197" t="s">
        <v>105</v>
      </c>
      <c r="B3" s="23"/>
      <c r="C3" s="21"/>
      <c r="D3" s="21"/>
      <c r="E3" s="23"/>
      <c r="F3" s="21"/>
      <c r="G3" s="21"/>
      <c r="H3" s="204">
        <v>18</v>
      </c>
      <c r="I3" s="23" t="str">
        <f>IF(H3="","","acre-inches")</f>
        <v>acre-inches</v>
      </c>
      <c r="J3" s="24"/>
      <c r="K3" s="24"/>
      <c r="O3" s="22" t="s">
        <v>459</v>
      </c>
    </row>
    <row r="4" spans="1:15" hidden="1">
      <c r="A4" s="197">
        <v>11</v>
      </c>
      <c r="B4" s="197" t="s">
        <v>106</v>
      </c>
      <c r="C4" s="21"/>
      <c r="D4" s="21"/>
      <c r="E4" s="23"/>
      <c r="F4" s="23"/>
      <c r="G4" s="23"/>
      <c r="H4" s="23"/>
      <c r="I4" s="23"/>
      <c r="J4" s="24"/>
      <c r="K4" s="24"/>
      <c r="O4" s="22" t="str">
        <f>B4</f>
        <v>AUM</v>
      </c>
    </row>
    <row r="5" spans="1:15" ht="30" customHeight="1">
      <c r="A5" s="208" t="str">
        <f>'General Variables'!B1 &amp; " " &amp; A2 &amp; ", " &amp; A3 &amp; IF(A4=""," ", " (") &amp; A4 &amp; " " &amp; B4 &amp; IF(A4="",""," Actual Yield)")</f>
        <v>2012 Budget 31. Pasture, Grazing (11 AUM Actual Yield)</v>
      </c>
      <c r="B5" s="208"/>
      <c r="C5" s="208"/>
      <c r="D5" s="208"/>
      <c r="E5" s="208"/>
      <c r="F5" s="208"/>
      <c r="G5" s="208"/>
      <c r="H5" s="208"/>
      <c r="I5" s="208"/>
      <c r="J5" s="208"/>
      <c r="K5" s="208"/>
      <c r="L5" s="208"/>
      <c r="O5" s="22"/>
    </row>
    <row r="6" spans="1:15" ht="15.75">
      <c r="A6" s="198" t="str">
        <f>IF(H2="Dryland","Dryland",H2 &amp; ", " &amp; H3 &amp; " " &amp;I3)</f>
        <v>Pivot Irrigated,  800 GPM 35 PSI, 18 acre-inches</v>
      </c>
      <c r="B6" s="197"/>
      <c r="C6" s="21"/>
      <c r="D6" s="21"/>
      <c r="E6" s="23"/>
      <c r="F6" s="23"/>
      <c r="G6" s="23"/>
      <c r="H6" s="23"/>
      <c r="I6" s="23"/>
      <c r="J6" s="24"/>
      <c r="K6" s="24"/>
      <c r="O6" s="22"/>
    </row>
    <row r="8" spans="1:15" s="24" customFormat="1" ht="22.5" customHeight="1">
      <c r="B8" s="209" t="s">
        <v>86</v>
      </c>
      <c r="C8" s="211" t="s">
        <v>1</v>
      </c>
      <c r="D8" s="200"/>
      <c r="E8" s="211" t="str">
        <f>"Labor @ $" &amp;TEXT('General Variables'!B2,"#.00")&amp; " /Hr"</f>
        <v>Labor @ $20.00 /Hr</v>
      </c>
      <c r="F8" s="211" t="str">
        <f>"Fuel @ $" &amp; TEXT('General Variables'!B3,"#.00") &amp; " and Lube"</f>
        <v>Fuel @ $3.50 and Lube</v>
      </c>
      <c r="G8" s="213" t="s">
        <v>87</v>
      </c>
      <c r="H8" s="213"/>
      <c r="I8" s="213" t="s">
        <v>390</v>
      </c>
      <c r="J8" s="213"/>
      <c r="K8" s="213" t="s">
        <v>2</v>
      </c>
      <c r="L8" s="211" t="s">
        <v>398</v>
      </c>
    </row>
    <row r="9" spans="1:15" s="24" customFormat="1" ht="17.25" customHeight="1" thickBot="1">
      <c r="B9" s="210"/>
      <c r="C9" s="212"/>
      <c r="D9" s="201" t="s">
        <v>85</v>
      </c>
      <c r="E9" s="212"/>
      <c r="F9" s="212"/>
      <c r="G9" s="202" t="s">
        <v>88</v>
      </c>
      <c r="H9" s="202" t="s">
        <v>90</v>
      </c>
      <c r="I9" s="202" t="s">
        <v>88</v>
      </c>
      <c r="J9" s="202" t="s">
        <v>90</v>
      </c>
      <c r="K9" s="214"/>
      <c r="L9" s="212"/>
    </row>
    <row r="10" spans="1:15" ht="13.5" thickTop="1">
      <c r="A10" s="203">
        <v>1</v>
      </c>
      <c r="B10" s="172" t="s">
        <v>312</v>
      </c>
      <c r="C10" s="57">
        <f>H3</f>
        <v>18</v>
      </c>
      <c r="D10" s="173" t="s">
        <v>459</v>
      </c>
      <c r="E10" s="19">
        <f>IF(B10=0,"",IF(C10&gt;9999,"",ROUND('General Variables'!$B$2*VLOOKUP(B10,Operations[],10,FALSE)/VLOOKUP(B10,Operations[],9,FALSE)*C10,2)))</f>
        <v>12.5</v>
      </c>
      <c r="F10" s="19">
        <f>IF(B10=0,0,ROUND(IF(VLOOKUP(B10,Operations[],12,FALSE)=0,VLOOKUP(B10,Operations[],13,FALSE)*'General Variables'!$B$6,VLOOKUP(B10,Operations[],12,FALSE)*'General Variables'!$B$5)/VLOOKUP(B10,Operations[],9,FALSE)*LEFT(C10,3),2))</f>
        <v>134.44</v>
      </c>
      <c r="G10" s="19">
        <f>IF(B10=0,0,ROUND(VLOOKUP(VLOOKUP(B10,Operations[],11,FALSE),PowerUnits[],10,FALSE)/VLOOKUP(B10,Operations[],9,FALSE)*LEFT(C10,3),2))</f>
        <v>5.88</v>
      </c>
      <c r="H10" s="19">
        <f>IF(B10=0,"",ROUND(VLOOKUP($B10,Operations[],15,FALSE)*LEFT(C10,3),2))</f>
        <v>37.35</v>
      </c>
      <c r="I10" s="19">
        <f>IF(B10=0,0,ROUND(VLOOKUP(VLOOKUP(B10,Operations[],11,FALSE),PowerUnits[],16,FALSE)/VLOOKUP(B10,Operations[],9,FALSE)*LEFT(C10,3),2))</f>
        <v>8.51</v>
      </c>
      <c r="J10" s="19">
        <f>IF(B10=0,"",ROUND(VLOOKUP($B10,Operations[],21,FALSE)*LEFT(C10,3),2))</f>
        <v>22.34</v>
      </c>
      <c r="K10" s="19">
        <f>SUM(E10:J10)</f>
        <v>221.01999999999998</v>
      </c>
      <c r="L10" s="21"/>
    </row>
    <row r="11" spans="1:15" hidden="1">
      <c r="A11" s="203">
        <v>2</v>
      </c>
      <c r="B11" s="171"/>
      <c r="C11" s="57"/>
      <c r="D11" s="173"/>
      <c r="E11" s="18" t="str">
        <f>IF(B11=0,"",IF(C11&gt;9999,"",ROUND('General Variables'!$B$2*VLOOKUP(B11,Operations[],10,FALSE)/VLOOKUP(B11,Operations[],9,FALSE)*C11,2)))</f>
        <v/>
      </c>
      <c r="F11" s="18">
        <f>IF(B11=0,0,IF(C11&gt;9999,"",ROUND(IF(VLOOKUP(B11,Operations[],12,FALSE)=0,VLOOKUP(B11,Operations[],13,FALSE)*'General Variables'!$B$6,VLOOKUP(B11,Operations[],12,FALSE)*'General Variables'!$B$5)/VLOOKUP(B11,Operations[],9,FALSE)*C11,2)))</f>
        <v>0</v>
      </c>
      <c r="G11" s="18">
        <f>IF(B11=0,0,IF(C11&gt;9999,"",ROUND(VLOOKUP(VLOOKUP(B11,Operations[],11,FALSE),PowerUnits[],10,FALSE)/VLOOKUP(B11,Operations[],9,FALSE)*C11,2)))</f>
        <v>0</v>
      </c>
      <c r="H11" s="18" t="str">
        <f>IF(B11=0,"",IF(C11&gt;9999,"",ROUND(VLOOKUP($B11,Operations[],15,FALSE)*C11,2)))</f>
        <v/>
      </c>
      <c r="I11" s="18">
        <f>IF(B11=0,0,IF(C11&gt;9999,"",ROUND(VLOOKUP(VLOOKUP(B11,Operations[],11,FALSE),PowerUnits[],16,FALSE)/VLOOKUP(B11,Operations[],9,FALSE)*C11,2)))</f>
        <v>0</v>
      </c>
      <c r="J11" s="18" t="str">
        <f>IF(B11=0,"",IF(C11&gt;9999,"",ROUND(VLOOKUP($B11,Operations[],21,FALSE)*$C11,2)))</f>
        <v/>
      </c>
      <c r="K11" s="18">
        <f t="shared" ref="K11:K29" si="0">IF(C11&gt;9999,"",ROUND(SUM(E11:J11),2))</f>
        <v>0</v>
      </c>
      <c r="L11" s="25"/>
    </row>
    <row r="12" spans="1:15" hidden="1">
      <c r="A12" s="203">
        <v>3</v>
      </c>
      <c r="B12" s="171"/>
      <c r="C12" s="57"/>
      <c r="D12" s="173"/>
      <c r="E12" s="18" t="str">
        <f>IF(B12=0,"",IF(C12&gt;9999,"",ROUND('General Variables'!$B$2*VLOOKUP(B12,Operations[],10,FALSE)/VLOOKUP(B12,Operations[],9,FALSE)*C12,2)))</f>
        <v/>
      </c>
      <c r="F12" s="18">
        <f>IF(B12=0,0,IF(C12&gt;9999,"",ROUND(IF(VLOOKUP(B12,Operations[],12,FALSE)=0,VLOOKUP(B12,Operations[],13,FALSE)*'General Variables'!$B$6,VLOOKUP(B12,Operations[],12,FALSE)*'General Variables'!$B$5)/VLOOKUP(B12,Operations[],9,FALSE)*C12,2)))</f>
        <v>0</v>
      </c>
      <c r="G12" s="18">
        <f>IF(B12=0,0,IF(C12&gt;9999,"",ROUND(VLOOKUP(VLOOKUP(B12,Operations[],11,FALSE),PowerUnits[],10,FALSE)/VLOOKUP(B12,Operations[],9,FALSE)*C12,2)))</f>
        <v>0</v>
      </c>
      <c r="H12" s="18" t="str">
        <f>IF(B12=0,"",IF(C12&gt;9999,"",ROUND(VLOOKUP($B12,Operations[],15,FALSE)*C12,2)))</f>
        <v/>
      </c>
      <c r="I12" s="18">
        <f>IF(B12=0,0,IF(C12&gt;9999,"",ROUND(VLOOKUP(VLOOKUP(B12,Operations[],11,FALSE),PowerUnits[],16,FALSE)/VLOOKUP(B12,Operations[],9,FALSE)*C12,2)))</f>
        <v>0</v>
      </c>
      <c r="J12" s="18" t="str">
        <f>IF(B12=0,"",IF(C12&gt;9999,"",ROUND(VLOOKUP($B12,Operations[],21,FALSE)*$C12,2)))</f>
        <v/>
      </c>
      <c r="K12" s="18">
        <f t="shared" si="0"/>
        <v>0</v>
      </c>
      <c r="L12" s="25"/>
    </row>
    <row r="13" spans="1:15" hidden="1">
      <c r="A13" s="203">
        <v>4</v>
      </c>
      <c r="B13" s="171"/>
      <c r="C13" s="57"/>
      <c r="D13" s="173"/>
      <c r="E13" s="18" t="str">
        <f>IF(B13=0,"",IF(C13&gt;9999,"",ROUND('General Variables'!$B$2*VLOOKUP(B13,Operations[],10,FALSE)/VLOOKUP(B13,Operations[],9,FALSE)*C13,2)))</f>
        <v/>
      </c>
      <c r="F13" s="18">
        <f>IF(B13=0,0,IF(C13&gt;9999,"",ROUND(IF(VLOOKUP(B13,Operations[],12,FALSE)=0,VLOOKUP(B13,Operations[],13,FALSE)*'General Variables'!$B$6,VLOOKUP(B13,Operations[],12,FALSE)*'General Variables'!$B$5)/VLOOKUP(B13,Operations[],9,FALSE)*C13,2)))</f>
        <v>0</v>
      </c>
      <c r="G13" s="18">
        <f>IF(B13=0,0,IF(C13&gt;9999,"",ROUND(VLOOKUP(VLOOKUP(B13,Operations[],11,FALSE),PowerUnits[],10,FALSE)/VLOOKUP(B13,Operations[],9,FALSE)*C13,2)))</f>
        <v>0</v>
      </c>
      <c r="H13" s="18" t="str">
        <f>IF(B13=0,"",IF(C13&gt;9999,"",ROUND(VLOOKUP($B13,Operations[],15,FALSE)*C13,2)))</f>
        <v/>
      </c>
      <c r="I13" s="18">
        <f>IF(B13=0,0,IF(C13&gt;9999,"",ROUND(VLOOKUP(VLOOKUP(B13,Operations[],11,FALSE),PowerUnits[],16,FALSE)/VLOOKUP(B13,Operations[],9,FALSE)*C13,2)))</f>
        <v>0</v>
      </c>
      <c r="J13" s="18" t="str">
        <f>IF(B13=0,"",IF(C13&gt;9999,"",ROUND(VLOOKUP($B13,Operations[],21,FALSE)*$C13,2)))</f>
        <v/>
      </c>
      <c r="K13" s="18">
        <f t="shared" si="0"/>
        <v>0</v>
      </c>
      <c r="L13" s="25"/>
    </row>
    <row r="14" spans="1:15" hidden="1">
      <c r="A14" s="203">
        <v>5</v>
      </c>
      <c r="B14" s="171"/>
      <c r="C14" s="57"/>
      <c r="D14" s="173"/>
      <c r="E14" s="18" t="str">
        <f>IF(B14=0,"",IF(C14&gt;9999,"",ROUND('General Variables'!$B$2*VLOOKUP(B14,Operations[],10,FALSE)/VLOOKUP(B14,Operations[],9,FALSE)*C14,2)))</f>
        <v/>
      </c>
      <c r="F14" s="18">
        <f>IF(B14=0,0,IF(C14&gt;9999,"",ROUND(IF(VLOOKUP(B14,Operations[],12,FALSE)=0,VLOOKUP(B14,Operations[],13,FALSE)*'General Variables'!$B$6,VLOOKUP(B14,Operations[],12,FALSE)*'General Variables'!$B$5)/VLOOKUP(B14,Operations[],9,FALSE)*C14,2)))</f>
        <v>0</v>
      </c>
      <c r="G14" s="18">
        <f>IF(B14=0,0,IF(C14&gt;9999,"",ROUND(VLOOKUP(VLOOKUP(B14,Operations[],11,FALSE),PowerUnits[],10,FALSE)/VLOOKUP(B14,Operations[],9,FALSE)*C14,2)))</f>
        <v>0</v>
      </c>
      <c r="H14" s="18" t="str">
        <f>IF(B14=0,"",IF(C14&gt;9999,"",ROUND(VLOOKUP($B14,Operations[],15,FALSE)*C14,2)))</f>
        <v/>
      </c>
      <c r="I14" s="18">
        <f>IF(B14=0,0,IF(C14&gt;9999,"",ROUND(VLOOKUP(VLOOKUP(B14,Operations[],11,FALSE),PowerUnits[],16,FALSE)/VLOOKUP(B14,Operations[],9,FALSE)*C14,2)))</f>
        <v>0</v>
      </c>
      <c r="J14" s="18" t="str">
        <f>IF(B14=0,"",IF(C14&gt;9999,"",ROUND(VLOOKUP($B14,Operations[],21,FALSE)*$C14,2)))</f>
        <v/>
      </c>
      <c r="K14" s="18">
        <f t="shared" si="0"/>
        <v>0</v>
      </c>
      <c r="L14" s="25"/>
    </row>
    <row r="15" spans="1:15" hidden="1">
      <c r="A15" s="203">
        <v>6</v>
      </c>
      <c r="B15" s="171"/>
      <c r="C15" s="57"/>
      <c r="D15" s="173"/>
      <c r="E15" s="18" t="str">
        <f>IF(B15=0,"",IF(C15&gt;9999,"",ROUND('General Variables'!$B$2*VLOOKUP(B15,Operations[],10,FALSE)/VLOOKUP(B15,Operations[],9,FALSE)*C15,2)))</f>
        <v/>
      </c>
      <c r="F15" s="18">
        <f>IF(B15=0,0,IF(C15&gt;9999,"",ROUND(IF(VLOOKUP(B15,Operations[],12,FALSE)=0,VLOOKUP(B15,Operations[],13,FALSE)*'General Variables'!$B$6,VLOOKUP(B15,Operations[],12,FALSE)*'General Variables'!$B$5)/VLOOKUP(B15,Operations[],9,FALSE)*C15,2)))</f>
        <v>0</v>
      </c>
      <c r="G15" s="18">
        <f>IF(B15=0,0,IF(C15&gt;9999,"",ROUND(VLOOKUP(VLOOKUP(B15,Operations[],11,FALSE),PowerUnits[],10,FALSE)/VLOOKUP(B15,Operations[],9,FALSE)*C15,2)))</f>
        <v>0</v>
      </c>
      <c r="H15" s="18" t="str">
        <f>IF(B15=0,"",IF(C15&gt;9999,"",ROUND(VLOOKUP($B15,Operations[],15,FALSE)*C15,2)))</f>
        <v/>
      </c>
      <c r="I15" s="18">
        <f>IF(B15=0,0,IF(C15&gt;9999,"",ROUND(VLOOKUP(VLOOKUP(B15,Operations[],11,FALSE),PowerUnits[],16,FALSE)/VLOOKUP(B15,Operations[],9,FALSE)*C15,2)))</f>
        <v>0</v>
      </c>
      <c r="J15" s="18" t="str">
        <f>IF(B15=0,"",IF(C15&gt;9999,"",ROUND(VLOOKUP($B15,Operations[],21,FALSE)*$C15,2)))</f>
        <v/>
      </c>
      <c r="K15" s="18">
        <f t="shared" si="0"/>
        <v>0</v>
      </c>
      <c r="L15" s="25"/>
    </row>
    <row r="16" spans="1:15" hidden="1">
      <c r="A16" s="203">
        <v>7</v>
      </c>
      <c r="B16" s="171"/>
      <c r="C16" s="57"/>
      <c r="D16" s="173"/>
      <c r="E16" s="18" t="str">
        <f>IF(B16=0,"",IF(C16&gt;9999,"",ROUND('General Variables'!$B$2*VLOOKUP(B16,Operations[],10,FALSE)/VLOOKUP(B16,Operations[],9,FALSE)*C16,2)))</f>
        <v/>
      </c>
      <c r="F16" s="18">
        <f>IF(B16=0,0,IF(C16&gt;9999,"",ROUND(IF(VLOOKUP(B16,Operations[],12,FALSE)=0,VLOOKUP(B16,Operations[],13,FALSE)*'General Variables'!$B$6,VLOOKUP(B16,Operations[],12,FALSE)*'General Variables'!$B$5)/VLOOKUP(B16,Operations[],9,FALSE)*C16,2)))</f>
        <v>0</v>
      </c>
      <c r="G16" s="18">
        <f>IF(B16=0,0,IF(C16&gt;9999,"",ROUND(VLOOKUP(VLOOKUP(B16,Operations[],11,FALSE),PowerUnits[],10,FALSE)/VLOOKUP(B16,Operations[],9,FALSE)*C16,2)))</f>
        <v>0</v>
      </c>
      <c r="H16" s="18" t="str">
        <f>IF(B16=0,"",IF(C16&gt;9999,"",ROUND(VLOOKUP($B16,Operations[],15,FALSE)*C16,2)))</f>
        <v/>
      </c>
      <c r="I16" s="18">
        <f>IF(B16=0,0,IF(C16&gt;9999,"",ROUND(VLOOKUP(VLOOKUP(B16,Operations[],11,FALSE),PowerUnits[],16,FALSE)/VLOOKUP(B16,Operations[],9,FALSE)*C16,2)))</f>
        <v>0</v>
      </c>
      <c r="J16" s="18" t="str">
        <f>IF(B16=0,"",IF(C16&gt;9999,"",ROUND(VLOOKUP($B16,Operations[],21,FALSE)*$C16,2)))</f>
        <v/>
      </c>
      <c r="K16" s="18">
        <f t="shared" si="0"/>
        <v>0</v>
      </c>
      <c r="L16" s="25"/>
    </row>
    <row r="17" spans="1:12" hidden="1">
      <c r="A17" s="203">
        <v>8</v>
      </c>
      <c r="B17" s="171"/>
      <c r="C17" s="57"/>
      <c r="D17" s="173"/>
      <c r="E17" s="18" t="str">
        <f>IF(B17=0,"",IF(C17&gt;9999,"",ROUND('General Variables'!$B$2*VLOOKUP(B17,Operations[],10,FALSE)/VLOOKUP(B17,Operations[],9,FALSE)*C17,2)))</f>
        <v/>
      </c>
      <c r="F17" s="18">
        <f>IF(B17=0,0,IF(C17&gt;9999,"",ROUND(IF(VLOOKUP(B17,Operations[],12,FALSE)=0,VLOOKUP(B17,Operations[],13,FALSE)*'General Variables'!$B$6,VLOOKUP(B17,Operations[],12,FALSE)*'General Variables'!$B$5)/VLOOKUP(B17,Operations[],9,FALSE)*C17,2)))</f>
        <v>0</v>
      </c>
      <c r="G17" s="18">
        <f>IF(B17=0,0,IF(C17&gt;9999,"",ROUND(VLOOKUP(VLOOKUP(B17,Operations[],11,FALSE),PowerUnits[],10,FALSE)/VLOOKUP(B17,Operations[],9,FALSE)*C17,2)))</f>
        <v>0</v>
      </c>
      <c r="H17" s="18" t="str">
        <f>IF(B17=0,"",IF(C17&gt;9999,"",ROUND(VLOOKUP($B17,Operations[],15,FALSE)*C17,2)))</f>
        <v/>
      </c>
      <c r="I17" s="18">
        <f>IF(B17=0,0,IF(C17&gt;9999,"",ROUND(VLOOKUP(VLOOKUP(B17,Operations[],11,FALSE),PowerUnits[],16,FALSE)/VLOOKUP(B17,Operations[],9,FALSE)*C17,2)))</f>
        <v>0</v>
      </c>
      <c r="J17" s="18" t="str">
        <f>IF(B17=0,"",IF(C17&gt;9999,"",ROUND(VLOOKUP($B17,Operations[],21,FALSE)*$C17,2)))</f>
        <v/>
      </c>
      <c r="K17" s="18">
        <f t="shared" si="0"/>
        <v>0</v>
      </c>
      <c r="L17" s="25"/>
    </row>
    <row r="18" spans="1:12" hidden="1">
      <c r="A18" s="203">
        <v>9</v>
      </c>
      <c r="B18" s="171"/>
      <c r="C18" s="57"/>
      <c r="D18" s="174"/>
      <c r="E18" s="18" t="str">
        <f>IF(B18=0,"",IF(C18&gt;9999,"",ROUND('General Variables'!$B$2*VLOOKUP(B18,Operations[],10,FALSE)/VLOOKUP(B18,Operations[],9,FALSE)*C18,2)))</f>
        <v/>
      </c>
      <c r="F18" s="18">
        <f>IF(B18=0,0,IF(C18&gt;9999,"",ROUND(IF(VLOOKUP(B18,Operations[],12,FALSE)=0,VLOOKUP(B18,Operations[],13,FALSE)*'General Variables'!$B$6,VLOOKUP(B18,Operations[],12,FALSE)*'General Variables'!$B$5)/VLOOKUP(B18,Operations[],9,FALSE)*C18,2)))</f>
        <v>0</v>
      </c>
      <c r="G18" s="18">
        <f>IF(B18=0,0,IF(C18&gt;9999,"",ROUND(VLOOKUP(VLOOKUP(B18,Operations[],11,FALSE),PowerUnits[],10,FALSE)/VLOOKUP(B18,Operations[],9,FALSE)*C18,2)))</f>
        <v>0</v>
      </c>
      <c r="H18" s="18" t="str">
        <f>IF(B18=0,"",IF(C18&gt;9999,"",ROUND(VLOOKUP($B18,Operations[],15,FALSE)*C18,2)))</f>
        <v/>
      </c>
      <c r="I18" s="18">
        <f>IF(B18=0,0,IF(C18&gt;9999,"",ROUND(VLOOKUP(VLOOKUP(B18,Operations[],11,FALSE),PowerUnits[],16,FALSE)/VLOOKUP(B18,Operations[],9,FALSE)*C18,2)))</f>
        <v>0</v>
      </c>
      <c r="J18" s="18" t="str">
        <f>IF(B18=0,"",IF(C18&gt;9999,"",ROUND(VLOOKUP($B18,Operations[],21,FALSE)*$C18,2)))</f>
        <v/>
      </c>
      <c r="K18" s="18">
        <f t="shared" si="0"/>
        <v>0</v>
      </c>
      <c r="L18" s="25"/>
    </row>
    <row r="19" spans="1:12" hidden="1">
      <c r="A19" s="203">
        <v>10</v>
      </c>
      <c r="B19" s="171"/>
      <c r="C19" s="57"/>
      <c r="D19" s="174"/>
      <c r="E19" s="18" t="str">
        <f>IF(B19=0,"",IF(C19&gt;9999,"",ROUND('General Variables'!$B$2*VLOOKUP(B19,Operations[],10,FALSE)/VLOOKUP(B19,Operations[],9,FALSE)*C19,2)))</f>
        <v/>
      </c>
      <c r="F19" s="18">
        <f>IF(B19=0,0,IF(C19&gt;9999,"",ROUND(IF(VLOOKUP(B19,Operations[],12,FALSE)=0,VLOOKUP(B19,Operations[],13,FALSE)*'General Variables'!$B$6,VLOOKUP(B19,Operations[],12,FALSE)*'General Variables'!$B$5)/VLOOKUP(B19,Operations[],9,FALSE)*C19,2)))</f>
        <v>0</v>
      </c>
      <c r="G19" s="18">
        <f>IF(B19=0,0,IF(C19&gt;9999,"",ROUND(VLOOKUP(VLOOKUP(B19,Operations[],11,FALSE),PowerUnits[],10,FALSE)/VLOOKUP(B19,Operations[],9,FALSE)*C19,2)))</f>
        <v>0</v>
      </c>
      <c r="H19" s="18" t="str">
        <f>IF(B19=0,"",IF(C19&gt;9999,"",ROUND(VLOOKUP($B19,Operations[],15,FALSE)*C19,2)))</f>
        <v/>
      </c>
      <c r="I19" s="18">
        <f>IF(B19=0,0,IF(C19&gt;9999,"",ROUND(VLOOKUP(VLOOKUP(B19,Operations[],11,FALSE),PowerUnits[],16,FALSE)/VLOOKUP(B19,Operations[],9,FALSE)*C19,2)))</f>
        <v>0</v>
      </c>
      <c r="J19" s="18" t="str">
        <f>IF(B19=0,"",IF(C19&gt;9999,"",ROUND(VLOOKUP($B19,Operations[],21,FALSE)*$C19,2)))</f>
        <v/>
      </c>
      <c r="K19" s="18">
        <f t="shared" si="0"/>
        <v>0</v>
      </c>
      <c r="L19" s="25"/>
    </row>
    <row r="20" spans="1:12" hidden="1">
      <c r="A20" s="203">
        <v>11</v>
      </c>
      <c r="B20" s="171"/>
      <c r="C20" s="57"/>
      <c r="D20" s="174"/>
      <c r="E20" s="18" t="str">
        <f>IF(B20=0,"",IF(C20&gt;9999,"",ROUND('General Variables'!$B$2*VLOOKUP(B20,Operations[],10,FALSE)/VLOOKUP(B20,Operations[],9,FALSE)*C20,2)))</f>
        <v/>
      </c>
      <c r="F20" s="18">
        <f>IF(B20=0,0,IF(C20&gt;9999,"",ROUND(IF(VLOOKUP(B20,Operations[],12,FALSE)=0,VLOOKUP(B20,Operations[],13,FALSE)*'General Variables'!$B$6,VLOOKUP(B20,Operations[],12,FALSE)*'General Variables'!$B$5)/VLOOKUP(B20,Operations[],9,FALSE)*C20,2)))</f>
        <v>0</v>
      </c>
      <c r="G20" s="18">
        <f>IF(B20=0,0,IF(C20&gt;9999,"",ROUND(VLOOKUP(VLOOKUP(B20,Operations[],11,FALSE),PowerUnits[],10,FALSE)/VLOOKUP(B20,Operations[],9,FALSE)*C20,2)))</f>
        <v>0</v>
      </c>
      <c r="H20" s="18" t="str">
        <f>IF(B20=0,"",IF(C20&gt;9999,"",ROUND(VLOOKUP($B20,Operations[],15,FALSE)*C20,2)))</f>
        <v/>
      </c>
      <c r="I20" s="18">
        <f>IF(B20=0,0,IF(C20&gt;9999,"",ROUND(VLOOKUP(VLOOKUP(B20,Operations[],11,FALSE),PowerUnits[],16,FALSE)/VLOOKUP(B20,Operations[],9,FALSE)*C20,2)))</f>
        <v>0</v>
      </c>
      <c r="J20" s="18" t="str">
        <f>IF(B20=0,"",IF(C20&gt;9999,"",ROUND(VLOOKUP($B20,Operations[],21,FALSE)*$C20,2)))</f>
        <v/>
      </c>
      <c r="K20" s="18">
        <f t="shared" si="0"/>
        <v>0</v>
      </c>
      <c r="L20" s="25"/>
    </row>
    <row r="21" spans="1:12" hidden="1">
      <c r="A21" s="203">
        <v>12</v>
      </c>
      <c r="B21" s="171"/>
      <c r="C21" s="57"/>
      <c r="D21" s="174"/>
      <c r="E21" s="18" t="str">
        <f>IF(B21=0,"",IF(C21&gt;9999,"",ROUND('General Variables'!$B$2*VLOOKUP(B21,Operations[],10,FALSE)/VLOOKUP(B21,Operations[],9,FALSE)*C21,2)))</f>
        <v/>
      </c>
      <c r="F21" s="18">
        <f>IF(B21=0,0,IF(C21&gt;9999,"",ROUND(IF(VLOOKUP(B21,Operations[],12,FALSE)=0,VLOOKUP(B21,Operations[],13,FALSE)*'General Variables'!$B$6,VLOOKUP(B21,Operations[],12,FALSE)*'General Variables'!$B$5)/VLOOKUP(B21,Operations[],9,FALSE)*C21,2)))</f>
        <v>0</v>
      </c>
      <c r="G21" s="18">
        <f>IF(B21=0,0,IF(C21&gt;9999,"",ROUND(VLOOKUP(VLOOKUP(B21,Operations[],11,FALSE),PowerUnits[],10,FALSE)/VLOOKUP(B21,Operations[],9,FALSE)*C21,2)))</f>
        <v>0</v>
      </c>
      <c r="H21" s="18" t="str">
        <f>IF(B21=0,"",IF(C21&gt;9999,"",ROUND(VLOOKUP($B21,Operations[],15,FALSE)*C21,2)))</f>
        <v/>
      </c>
      <c r="I21" s="18">
        <f>IF(B21=0,0,IF(C21&gt;9999,"",ROUND(VLOOKUP(VLOOKUP(B21,Operations[],11,FALSE),PowerUnits[],16,FALSE)/VLOOKUP(B21,Operations[],9,FALSE)*C21,2)))</f>
        <v>0</v>
      </c>
      <c r="J21" s="18" t="str">
        <f>IF(B21=0,"",IF(C21&gt;9999,"",ROUND(VLOOKUP($B21,Operations[],21,FALSE)*$C21,2)))</f>
        <v/>
      </c>
      <c r="K21" s="18">
        <f t="shared" si="0"/>
        <v>0</v>
      </c>
      <c r="L21" s="25"/>
    </row>
    <row r="22" spans="1:12" hidden="1">
      <c r="A22" s="203">
        <v>13</v>
      </c>
      <c r="B22" s="171"/>
      <c r="C22" s="57"/>
      <c r="D22" s="174"/>
      <c r="E22" s="18" t="str">
        <f>IF(B22=0,"",IF(C22&gt;9999,"",ROUND('General Variables'!$B$2*VLOOKUP(B22,Operations[],10,FALSE)/VLOOKUP(B22,Operations[],9,FALSE)*C22,2)))</f>
        <v/>
      </c>
      <c r="F22" s="18">
        <f>IF(B22=0,0,IF(C22&gt;9999,"",ROUND(IF(VLOOKUP(B22,Operations[],12,FALSE)=0,VLOOKUP(B22,Operations[],13,FALSE)*'General Variables'!$B$6,VLOOKUP(B22,Operations[],12,FALSE)*'General Variables'!$B$5)/VLOOKUP(B22,Operations[],9,FALSE)*C22,2)))</f>
        <v>0</v>
      </c>
      <c r="G22" s="18">
        <f>IF(B22=0,0,IF(C22&gt;9999,"",ROUND(VLOOKUP(VLOOKUP(B22,Operations[],11,FALSE),PowerUnits[],10,FALSE)/VLOOKUP(B22,Operations[],9,FALSE)*C22,2)))</f>
        <v>0</v>
      </c>
      <c r="H22" s="18" t="str">
        <f>IF(B22=0,"",IF(C22&gt;9999,"",ROUND(VLOOKUP($B22,Operations[],15,FALSE)*C22,2)))</f>
        <v/>
      </c>
      <c r="I22" s="18">
        <f>IF(B22=0,0,IF(C22&gt;9999,"",ROUND(VLOOKUP(VLOOKUP(B22,Operations[],11,FALSE),PowerUnits[],16,FALSE)/VLOOKUP(B22,Operations[],9,FALSE)*C22,2)))</f>
        <v>0</v>
      </c>
      <c r="J22" s="18" t="str">
        <f>IF(B22=0,"",IF(C22&gt;9999,"",ROUND(VLOOKUP($B22,Operations[],21,FALSE)*$C22,2)))</f>
        <v/>
      </c>
      <c r="K22" s="18">
        <f t="shared" si="0"/>
        <v>0</v>
      </c>
      <c r="L22" s="25"/>
    </row>
    <row r="23" spans="1:12" hidden="1">
      <c r="A23" s="203">
        <v>14</v>
      </c>
      <c r="B23" s="172"/>
      <c r="C23" s="58"/>
      <c r="D23" s="174"/>
      <c r="E23" s="18" t="str">
        <f>IF(B23=0,"",IF(C23&gt;9999,"",ROUND('General Variables'!$B$2*VLOOKUP(B23,Operations[],10,FALSE)/VLOOKUP(B23,Operations[],9,FALSE)*C23,2)))</f>
        <v/>
      </c>
      <c r="F23" s="18">
        <f>IF(B23=0,0,IF(C23&gt;9999,"",ROUND(IF(VLOOKUP(B23,Operations[],12,FALSE)=0,VLOOKUP(B23,Operations[],13,FALSE)*'General Variables'!$B$6,VLOOKUP(B23,Operations[],12,FALSE)*'General Variables'!$B$5)/VLOOKUP(B23,Operations[],9,FALSE)*C23,2)))</f>
        <v>0</v>
      </c>
      <c r="G23" s="18">
        <f>IF(B23=0,0,IF(C23&gt;9999,"",ROUND(VLOOKUP(VLOOKUP(B23,Operations[],11,FALSE),PowerUnits[],10,FALSE)/VLOOKUP(B23,Operations[],9,FALSE)*C23,2)))</f>
        <v>0</v>
      </c>
      <c r="H23" s="18" t="str">
        <f>IF(B23=0,"",IF(C23&gt;9999,"",ROUND(VLOOKUP($B23,Operations[],15,FALSE)*C23,2)))</f>
        <v/>
      </c>
      <c r="I23" s="18">
        <f>IF(B23=0,0,IF(C23&gt;9999,"",ROUND(VLOOKUP(VLOOKUP(B23,Operations[],11,FALSE),PowerUnits[],16,FALSE)/VLOOKUP(B23,Operations[],9,FALSE)*C23,2)))</f>
        <v>0</v>
      </c>
      <c r="J23" s="18" t="str">
        <f>IF(B23=0,"",IF(C23&gt;9999,"",ROUND(VLOOKUP($B23,Operations[],21,FALSE)*$C23,2)))</f>
        <v/>
      </c>
      <c r="K23" s="18">
        <f t="shared" si="0"/>
        <v>0</v>
      </c>
      <c r="L23" s="25"/>
    </row>
    <row r="24" spans="1:12" hidden="1">
      <c r="A24" s="203">
        <v>15</v>
      </c>
      <c r="B24" s="172"/>
      <c r="C24" s="58"/>
      <c r="D24" s="174"/>
      <c r="E24" s="18" t="str">
        <f>IF(B24=0,"",IF(C24&gt;9999,"",ROUND('General Variables'!$B$2*VLOOKUP(B24,Operations[],10,FALSE)/VLOOKUP(B24,Operations[],9,FALSE)*C24,2)))</f>
        <v/>
      </c>
      <c r="F24" s="18">
        <f>IF(B24=0,0,IF(C24&gt;9999,"",ROUND(IF(VLOOKUP(B24,Operations[],12,FALSE)=0,VLOOKUP(B24,Operations[],13,FALSE)*'General Variables'!$B$6,VLOOKUP(B24,Operations[],12,FALSE)*'General Variables'!$B$5)/VLOOKUP(B24,Operations[],9,FALSE)*C24,2)))</f>
        <v>0</v>
      </c>
      <c r="G24" s="18">
        <f>IF(B24=0,0,IF(C24&gt;9999,"",ROUND(VLOOKUP(VLOOKUP(B24,Operations[],11,FALSE),PowerUnits[],10,FALSE)/VLOOKUP(B24,Operations[],9,FALSE)*C24,2)))</f>
        <v>0</v>
      </c>
      <c r="H24" s="18" t="str">
        <f>IF(B24=0,"",IF(C24&gt;9999,"",ROUND(VLOOKUP($B24,Operations[],15,FALSE)*C24,2)))</f>
        <v/>
      </c>
      <c r="I24" s="18">
        <f>IF(B24=0,0,IF(C24&gt;9999,"",ROUND(VLOOKUP(VLOOKUP(B24,Operations[],11,FALSE),PowerUnits[],16,FALSE)/VLOOKUP(B24,Operations[],9,FALSE)*C24,2)))</f>
        <v>0</v>
      </c>
      <c r="J24" s="18" t="str">
        <f>IF(B24=0,"",IF(C24&gt;9999,"",ROUND(VLOOKUP($B24,Operations[],21,FALSE)*$C24,2)))</f>
        <v/>
      </c>
      <c r="K24" s="18">
        <f t="shared" si="0"/>
        <v>0</v>
      </c>
      <c r="L24" s="25"/>
    </row>
    <row r="25" spans="1:12" hidden="1">
      <c r="A25" s="203">
        <v>16</v>
      </c>
      <c r="B25" s="172"/>
      <c r="C25" s="58"/>
      <c r="D25" s="174"/>
      <c r="E25" s="18" t="str">
        <f>IF(B25=0,"",IF(C25&gt;9999,"",ROUND('General Variables'!$B$2*VLOOKUP(B25,Operations[],10,FALSE)/VLOOKUP(B25,Operations[],9,FALSE)*C25,2)))</f>
        <v/>
      </c>
      <c r="F25" s="18">
        <f>IF(B25=0,0,IF(C25&gt;9999,"",ROUND(IF(VLOOKUP(B25,Operations[],12,FALSE)=0,VLOOKUP(B25,Operations[],13,FALSE)*'General Variables'!$B$6,VLOOKUP(B25,Operations[],12,FALSE)*'General Variables'!$B$5)/VLOOKUP(B25,Operations[],9,FALSE)*C25,2)))</f>
        <v>0</v>
      </c>
      <c r="G25" s="18">
        <f>IF(B25=0,0,IF(C25&gt;9999,"",ROUND(VLOOKUP(VLOOKUP(B25,Operations[],11,FALSE),PowerUnits[],10,FALSE)/VLOOKUP(B25,Operations[],9,FALSE)*C25,2)))</f>
        <v>0</v>
      </c>
      <c r="H25" s="18" t="str">
        <f>IF(B25=0,"",IF(C25&gt;9999,"",ROUND(VLOOKUP($B25,Operations[],15,FALSE)*C25,2)))</f>
        <v/>
      </c>
      <c r="I25" s="18">
        <f>IF(B25=0,0,IF(C25&gt;9999,"",ROUND(VLOOKUP(VLOOKUP(B25,Operations[],11,FALSE),PowerUnits[],16,FALSE)/VLOOKUP(B25,Operations[],9,FALSE)*C25,2)))</f>
        <v>0</v>
      </c>
      <c r="J25" s="18" t="str">
        <f>IF(B25=0,"",IF(C25&gt;9999,"",ROUND(VLOOKUP($B25,Operations[],21,FALSE)*$C25,2)))</f>
        <v/>
      </c>
      <c r="K25" s="18">
        <f t="shared" si="0"/>
        <v>0</v>
      </c>
      <c r="L25" s="25"/>
    </row>
    <row r="26" spans="1:12" hidden="1">
      <c r="A26" s="203">
        <v>17</v>
      </c>
      <c r="B26" s="172"/>
      <c r="C26" s="58"/>
      <c r="D26" s="174"/>
      <c r="E26" s="18" t="str">
        <f>IF(B26=0,"",IF(C26&gt;9999,"",ROUND('General Variables'!$B$2*VLOOKUP(B26,Operations[],10,FALSE)/VLOOKUP(B26,Operations[],9,FALSE)*C26,2)))</f>
        <v/>
      </c>
      <c r="F26" s="18">
        <f>IF(B26=0,0,IF(C26&gt;9999,"",ROUND(IF(VLOOKUP(B26,Operations[],12,FALSE)=0,VLOOKUP(B26,Operations[],13,FALSE)*'General Variables'!$B$6,VLOOKUP(B26,Operations[],12,FALSE)*'General Variables'!$B$5)/VLOOKUP(B26,Operations[],9,FALSE)*C26,2)))</f>
        <v>0</v>
      </c>
      <c r="G26" s="18">
        <f>IF(B26=0,0,IF(C26&gt;9999,"",ROUND(VLOOKUP(VLOOKUP(B26,Operations[],11,FALSE),PowerUnits[],10,FALSE)/VLOOKUP(B26,Operations[],9,FALSE)*C26,2)))</f>
        <v>0</v>
      </c>
      <c r="H26" s="18" t="str">
        <f>IF(B26=0,"",IF(C26&gt;9999,"",ROUND(VLOOKUP($B26,Operations[],15,FALSE)*C26,2)))</f>
        <v/>
      </c>
      <c r="I26" s="18">
        <f>IF(B26=0,0,IF(C26&gt;9999,"",ROUND(VLOOKUP(VLOOKUP(B26,Operations[],11,FALSE),PowerUnits[],16,FALSE)/VLOOKUP(B26,Operations[],9,FALSE)*C26,2)))</f>
        <v>0</v>
      </c>
      <c r="J26" s="18" t="str">
        <f>IF(B26=0,"",IF(C26&gt;9999,"",ROUND(VLOOKUP($B26,Operations[],21,FALSE)*$C26,2)))</f>
        <v/>
      </c>
      <c r="K26" s="18">
        <f t="shared" si="0"/>
        <v>0</v>
      </c>
      <c r="L26" s="25"/>
    </row>
    <row r="27" spans="1:12" hidden="1">
      <c r="A27" s="203">
        <v>18</v>
      </c>
      <c r="B27" s="172"/>
      <c r="C27" s="58"/>
      <c r="D27" s="174"/>
      <c r="E27" s="18" t="str">
        <f>IF(B27=0,"",IF(C27&gt;9999,"",ROUND('General Variables'!$B$2*VLOOKUP(B27,Operations[],10,FALSE)/VLOOKUP(B27,Operations[],9,FALSE)*C27,2)))</f>
        <v/>
      </c>
      <c r="F27" s="18">
        <f>IF(B27=0,0,IF(C27&gt;9999,"",ROUND(IF(VLOOKUP(B27,Operations[],12,FALSE)=0,VLOOKUP(B27,Operations[],13,FALSE)*'General Variables'!$B$6,VLOOKUP(B27,Operations[],12,FALSE)*'General Variables'!$B$5)/VLOOKUP(B27,Operations[],9,FALSE)*C27,2)))</f>
        <v>0</v>
      </c>
      <c r="G27" s="18">
        <f>IF(B27=0,0,IF(C27&gt;9999,"",ROUND(VLOOKUP(VLOOKUP(B27,Operations[],11,FALSE),PowerUnits[],10,FALSE)/VLOOKUP(B27,Operations[],9,FALSE)*C27,2)))</f>
        <v>0</v>
      </c>
      <c r="H27" s="18" t="str">
        <f>IF(B27=0,"",IF(C27&gt;9999,"",ROUND(VLOOKUP($B27,Operations[],15,FALSE)*C27,2)))</f>
        <v/>
      </c>
      <c r="I27" s="18">
        <f>IF(B27=0,0,IF(C27&gt;9999,"",ROUND(VLOOKUP(VLOOKUP(B27,Operations[],11,FALSE),PowerUnits[],16,FALSE)/VLOOKUP(B27,Operations[],9,FALSE)*C27,2)))</f>
        <v>0</v>
      </c>
      <c r="J27" s="18" t="str">
        <f>IF(B27=0,"",IF(C27&gt;9999,"",ROUND(VLOOKUP($B27,Operations[],21,FALSE)*$C27,2)))</f>
        <v/>
      </c>
      <c r="K27" s="18">
        <f t="shared" si="0"/>
        <v>0</v>
      </c>
      <c r="L27" s="25"/>
    </row>
    <row r="28" spans="1:12" hidden="1">
      <c r="A28" s="203">
        <v>19</v>
      </c>
      <c r="B28" s="172"/>
      <c r="C28" s="58"/>
      <c r="D28" s="174"/>
      <c r="E28" s="18" t="str">
        <f>IF(B28=0,"",IF(C28&gt;9999,"",ROUND('General Variables'!$B$2*VLOOKUP(B28,Operations[],10,FALSE)/VLOOKUP(B28,Operations[],9,FALSE)*C28,2)))</f>
        <v/>
      </c>
      <c r="F28" s="18">
        <f>IF(B28=0,0,IF(C28&gt;9999,"",ROUND(IF(VLOOKUP(B28,Operations[],12,FALSE)=0,VLOOKUP(B28,Operations[],13,FALSE)*'General Variables'!$B$6,VLOOKUP(B28,Operations[],12,FALSE)*'General Variables'!$B$5)/VLOOKUP(B28,Operations[],9,FALSE)*C28,2)))</f>
        <v>0</v>
      </c>
      <c r="G28" s="18">
        <f>IF(B28=0,0,IF(C28&gt;9999,"",ROUND(VLOOKUP(VLOOKUP(B28,Operations[],11,FALSE),PowerUnits[],10,FALSE)/VLOOKUP(B28,Operations[],9,FALSE)*C28,2)))</f>
        <v>0</v>
      </c>
      <c r="H28" s="18" t="str">
        <f>IF(B28=0,"",IF(C28&gt;9999,"",ROUND(VLOOKUP($B28,Operations[],15,FALSE)*C28,2)))</f>
        <v/>
      </c>
      <c r="I28" s="18">
        <f>IF(B28=0,0,IF(C28&gt;9999,"",ROUND(VLOOKUP(VLOOKUP(B28,Operations[],11,FALSE),PowerUnits[],16,FALSE)/VLOOKUP(B28,Operations[],9,FALSE)*C28,2)))</f>
        <v>0</v>
      </c>
      <c r="J28" s="18" t="str">
        <f>IF(B28=0,"",IF(C28&gt;9999,"",ROUND(VLOOKUP($B28,Operations[],21,FALSE)*$C28,2)))</f>
        <v/>
      </c>
      <c r="K28" s="18">
        <f t="shared" si="0"/>
        <v>0</v>
      </c>
      <c r="L28" s="26"/>
    </row>
    <row r="29" spans="1:12" hidden="1">
      <c r="A29" s="203">
        <v>20</v>
      </c>
      <c r="B29" s="172"/>
      <c r="C29" s="58"/>
      <c r="D29" s="174"/>
      <c r="E29" s="18" t="str">
        <f>IF(B29=0,"",IF(C29&gt;9999,"",ROUND('General Variables'!$B$2*VLOOKUP(B29,Operations[],10,FALSE)/VLOOKUP(B29,Operations[],9,FALSE)*C29,2)))</f>
        <v/>
      </c>
      <c r="F29" s="18">
        <f>IF(B29=0,0,IF(C29&gt;9999,"",ROUND(IF(VLOOKUP(B29,Operations[],12,FALSE)=0,VLOOKUP(B29,Operations[],13,FALSE)*'General Variables'!$B$6,VLOOKUP(B29,Operations[],12,FALSE)*'General Variables'!$B$5)/VLOOKUP(B29,Operations[],9,FALSE)*C29,2)))</f>
        <v>0</v>
      </c>
      <c r="G29" s="18">
        <f>IF(B29=0,0,IF(C29&gt;9999,"",ROUND(VLOOKUP(VLOOKUP(B29,Operations[],11,FALSE),PowerUnits[],10,FALSE)/VLOOKUP(B29,Operations[],9,FALSE)*C29,2)))</f>
        <v>0</v>
      </c>
      <c r="H29" s="18" t="str">
        <f>IF(B29=0,"",IF(C29&gt;9999,"",ROUND(VLOOKUP($B29,Operations[],15,FALSE)*C29,2)))</f>
        <v/>
      </c>
      <c r="I29" s="18">
        <f>IF(B29=0,0,IF(C29&gt;9999,"",ROUND(VLOOKUP(VLOOKUP(B29,Operations[],11,FALSE),PowerUnits[],16,FALSE)/VLOOKUP(B29,Operations[],9,FALSE)*C29,2)))</f>
        <v>0</v>
      </c>
      <c r="J29" s="18" t="str">
        <f>IF(B29=0,"",IF(C29&gt;9999,"",ROUND(VLOOKUP($B29,Operations[],21,FALSE)*$C29,2)))</f>
        <v/>
      </c>
      <c r="K29" s="18">
        <f t="shared" si="0"/>
        <v>0</v>
      </c>
      <c r="L29" s="21"/>
    </row>
    <row r="30" spans="1:12" ht="3" customHeight="1" thickBot="1">
      <c r="A30" s="203"/>
      <c r="B30" s="27"/>
      <c r="C30" s="28"/>
      <c r="D30" s="28"/>
      <c r="E30" s="20"/>
      <c r="F30" s="20"/>
      <c r="G30" s="20"/>
      <c r="H30" s="20"/>
      <c r="I30" s="20"/>
      <c r="J30" s="20"/>
      <c r="K30" s="20"/>
      <c r="L30" s="29"/>
    </row>
    <row r="31" spans="1:12" ht="13.5" thickTop="1">
      <c r="C31" s="30" t="s">
        <v>89</v>
      </c>
      <c r="D31" s="30"/>
      <c r="E31" s="17">
        <f>SUM(E10:E29)</f>
        <v>12.5</v>
      </c>
      <c r="F31" s="17">
        <f t="shared" ref="F31:K31" si="1">SUM(F10:F29)</f>
        <v>134.44</v>
      </c>
      <c r="G31" s="17">
        <f t="shared" si="1"/>
        <v>5.88</v>
      </c>
      <c r="H31" s="17">
        <f t="shared" si="1"/>
        <v>37.35</v>
      </c>
      <c r="I31" s="17">
        <f t="shared" si="1"/>
        <v>8.51</v>
      </c>
      <c r="J31" s="17">
        <f t="shared" si="1"/>
        <v>22.34</v>
      </c>
      <c r="K31" s="17">
        <f t="shared" si="1"/>
        <v>221.01999999999998</v>
      </c>
      <c r="L31" s="25"/>
    </row>
    <row r="33" spans="1:12" ht="24" customHeight="1" thickBot="1">
      <c r="B33" s="21"/>
      <c r="C33" s="21"/>
      <c r="D33" s="21"/>
      <c r="E33" s="21"/>
      <c r="F33" s="212" t="s">
        <v>101</v>
      </c>
      <c r="G33" s="212" t="s">
        <v>98</v>
      </c>
      <c r="H33" s="211" t="s">
        <v>102</v>
      </c>
      <c r="I33" s="211"/>
      <c r="J33" s="212" t="s">
        <v>77</v>
      </c>
      <c r="L33" s="211" t="s">
        <v>398</v>
      </c>
    </row>
    <row r="34" spans="1:12" s="31" customFormat="1" ht="14.25" thickTop="1" thickBot="1">
      <c r="B34" s="32" t="s">
        <v>97</v>
      </c>
      <c r="C34" s="201"/>
      <c r="D34" s="201"/>
      <c r="E34" s="201"/>
      <c r="F34" s="212"/>
      <c r="G34" s="212"/>
      <c r="H34" s="201" t="s">
        <v>103</v>
      </c>
      <c r="I34" s="201" t="s">
        <v>85</v>
      </c>
      <c r="J34" s="212"/>
      <c r="K34" s="201" t="s">
        <v>99</v>
      </c>
      <c r="L34" s="212"/>
    </row>
    <row r="35" spans="1:12" ht="13.5" thickTop="1">
      <c r="A35" s="1"/>
      <c r="B35" s="172" t="s">
        <v>13</v>
      </c>
      <c r="C35" s="215" t="str">
        <f>IF(B35=0,"",VLOOKUP($B35,Materials[],2,FALSE))</f>
        <v>Fertilizer</v>
      </c>
      <c r="D35" s="215"/>
      <c r="E35" s="215"/>
      <c r="F35" s="58">
        <v>1</v>
      </c>
      <c r="G35" s="64">
        <v>1</v>
      </c>
      <c r="H35" s="63">
        <v>220</v>
      </c>
      <c r="I35" s="33" t="str">
        <f>IF($B35=0,"",VLOOKUP($B35,Materials[],5,FALSE))</f>
        <v>lbs N</v>
      </c>
      <c r="J35" s="34">
        <f>IF($B35=0,"",VLOOKUP($B35,Materials[],7,FALSE))</f>
        <v>0.75</v>
      </c>
      <c r="K35" s="17">
        <f>IF(B35=0,0,ROUND(G35*H35*J35,2))</f>
        <v>165</v>
      </c>
      <c r="L35" s="25"/>
    </row>
    <row r="36" spans="1:12">
      <c r="A36" s="1"/>
      <c r="B36" s="172" t="s">
        <v>34</v>
      </c>
      <c r="C36" s="215" t="str">
        <f>IF(B36=0,"",VLOOKUP($B36,Materials[],2,FALSE))</f>
        <v>Other</v>
      </c>
      <c r="D36" s="215"/>
      <c r="E36" s="215"/>
      <c r="F36" s="58"/>
      <c r="G36" s="64">
        <v>1</v>
      </c>
      <c r="H36" s="63">
        <v>1</v>
      </c>
      <c r="I36" s="33" t="str">
        <f>IF($B36=0,"",VLOOKUP($B36,Materials[],5,FALSE))</f>
        <v>acre</v>
      </c>
      <c r="J36" s="34">
        <f>IF($B36=0,"",VLOOKUP($B36,Materials[],7,FALSE))</f>
        <v>2</v>
      </c>
      <c r="K36" s="17">
        <f t="shared" ref="K36:K59" si="2">IF(B36=0,0,ROUND(G36*H36*J36,2))</f>
        <v>2</v>
      </c>
      <c r="L36" s="25"/>
    </row>
    <row r="37" spans="1:12">
      <c r="A37" s="1"/>
      <c r="B37" s="172" t="s">
        <v>34</v>
      </c>
      <c r="C37" s="215" t="str">
        <f>IF(B37=0,"",VLOOKUP($B37,Materials[],2,FALSE))</f>
        <v>Other</v>
      </c>
      <c r="D37" s="215"/>
      <c r="E37" s="215"/>
      <c r="F37" s="58"/>
      <c r="G37" s="64">
        <v>1</v>
      </c>
      <c r="H37" s="63">
        <v>1</v>
      </c>
      <c r="I37" s="33" t="str">
        <f>IF($B37=0,"",VLOOKUP($B37,Materials[],5,FALSE))</f>
        <v>acre</v>
      </c>
      <c r="J37" s="34">
        <f>IF($B37=0,"",VLOOKUP($B37,Materials[],7,FALSE))</f>
        <v>2</v>
      </c>
      <c r="K37" s="17">
        <f t="shared" si="2"/>
        <v>2</v>
      </c>
      <c r="L37" s="25"/>
    </row>
    <row r="38" spans="1:12">
      <c r="A38" s="1"/>
      <c r="B38" s="172" t="s">
        <v>49</v>
      </c>
      <c r="C38" s="215" t="str">
        <f>IF(B38=0,"",VLOOKUP($B38,Materials[],2,FALSE))</f>
        <v>Other</v>
      </c>
      <c r="D38" s="215"/>
      <c r="E38" s="215"/>
      <c r="F38" s="58"/>
      <c r="G38" s="64">
        <v>1</v>
      </c>
      <c r="H38" s="63">
        <v>1</v>
      </c>
      <c r="I38" s="33" t="str">
        <f>IF($B38=0,"",VLOOKUP($B38,Materials[],5,FALSE))</f>
        <v>hour</v>
      </c>
      <c r="J38" s="34">
        <f>IF($B38=0,"",VLOOKUP($B38,Materials[],7,FALSE))</f>
        <v>12</v>
      </c>
      <c r="K38" s="17">
        <f t="shared" si="2"/>
        <v>12</v>
      </c>
      <c r="L38" s="25"/>
    </row>
    <row r="39" spans="1:12" hidden="1">
      <c r="A39" s="1"/>
      <c r="B39" s="171"/>
      <c r="C39" s="215" t="str">
        <f>IF(B39=0,"",VLOOKUP($B39,Materials[],2,FALSE))</f>
        <v/>
      </c>
      <c r="D39" s="215"/>
      <c r="E39" s="215"/>
      <c r="F39" s="57"/>
      <c r="G39" s="60"/>
      <c r="H39" s="62"/>
      <c r="I39" s="33" t="str">
        <f>IF($B39=0,"",VLOOKUP($B39,Materials[],5,FALSE))</f>
        <v/>
      </c>
      <c r="J39" s="34" t="str">
        <f>IF($B39=0,"",VLOOKUP($B39,Materials[],7,FALSE))</f>
        <v/>
      </c>
      <c r="K39" s="17">
        <f t="shared" si="2"/>
        <v>0</v>
      </c>
      <c r="L39" s="25"/>
    </row>
    <row r="40" spans="1:12" hidden="1">
      <c r="A40" s="1"/>
      <c r="B40" s="171"/>
      <c r="C40" s="215" t="str">
        <f>IF(B40=0,"",VLOOKUP($B40,Materials[],2,FALSE))</f>
        <v/>
      </c>
      <c r="D40" s="215"/>
      <c r="E40" s="215"/>
      <c r="F40" s="57"/>
      <c r="G40" s="60"/>
      <c r="H40" s="62"/>
      <c r="I40" s="33" t="str">
        <f>IF($B40=0,"",VLOOKUP($B40,Materials[],5,FALSE))</f>
        <v/>
      </c>
      <c r="J40" s="34" t="str">
        <f>IF($B40=0,"",VLOOKUP($B40,Materials[],7,FALSE))</f>
        <v/>
      </c>
      <c r="K40" s="17">
        <f t="shared" si="2"/>
        <v>0</v>
      </c>
      <c r="L40" s="25"/>
    </row>
    <row r="41" spans="1:12" hidden="1">
      <c r="A41" s="54"/>
      <c r="B41" s="171"/>
      <c r="C41" s="215" t="str">
        <f>IF(B41=0,"",VLOOKUP($B41,Materials[],2,FALSE))</f>
        <v/>
      </c>
      <c r="D41" s="215"/>
      <c r="E41" s="215"/>
      <c r="F41" s="57"/>
      <c r="G41" s="60"/>
      <c r="H41" s="61"/>
      <c r="I41" s="33" t="str">
        <f>IF($B41=0,"",VLOOKUP($B41,Materials[],5,FALSE))</f>
        <v/>
      </c>
      <c r="J41" s="34" t="str">
        <f>IF($B41=0,"",VLOOKUP($B41,Materials[],7,FALSE))</f>
        <v/>
      </c>
      <c r="K41" s="17">
        <f t="shared" si="2"/>
        <v>0</v>
      </c>
      <c r="L41" s="25"/>
    </row>
    <row r="42" spans="1:12" hidden="1">
      <c r="A42" s="54"/>
      <c r="B42" s="171"/>
      <c r="C42" s="215" t="str">
        <f>IF(B42=0,"",VLOOKUP($B42,Materials[],2,FALSE))</f>
        <v/>
      </c>
      <c r="D42" s="215"/>
      <c r="E42" s="215"/>
      <c r="F42" s="57"/>
      <c r="G42" s="60"/>
      <c r="H42" s="61"/>
      <c r="I42" s="33" t="str">
        <f>IF($B42=0,"",VLOOKUP($B42,Materials[],5,FALSE))</f>
        <v/>
      </c>
      <c r="J42" s="34" t="str">
        <f>IF($B42=0,"",VLOOKUP($B42,Materials[],7,FALSE))</f>
        <v/>
      </c>
      <c r="K42" s="17">
        <f t="shared" si="2"/>
        <v>0</v>
      </c>
      <c r="L42" s="25"/>
    </row>
    <row r="43" spans="1:12" hidden="1">
      <c r="A43" s="54"/>
      <c r="B43" s="171"/>
      <c r="C43" s="215" t="str">
        <f>IF(B43=0,"",VLOOKUP($B43,Materials[],2,FALSE))</f>
        <v/>
      </c>
      <c r="D43" s="215"/>
      <c r="E43" s="215"/>
      <c r="F43" s="57"/>
      <c r="G43" s="60"/>
      <c r="H43" s="61"/>
      <c r="I43" s="33" t="str">
        <f>IF($B43=0,"",VLOOKUP($B43,Materials[],5,FALSE))</f>
        <v/>
      </c>
      <c r="J43" s="34" t="str">
        <f>IF($B43=0,"",VLOOKUP($B43,Materials[],7,FALSE))</f>
        <v/>
      </c>
      <c r="K43" s="17">
        <f t="shared" si="2"/>
        <v>0</v>
      </c>
      <c r="L43" s="25"/>
    </row>
    <row r="44" spans="1:12" hidden="1">
      <c r="A44" s="54"/>
      <c r="B44" s="171"/>
      <c r="C44" s="215" t="str">
        <f>IF(B44=0,"",VLOOKUP($B44,Materials[],2,FALSE))</f>
        <v/>
      </c>
      <c r="D44" s="215"/>
      <c r="E44" s="215"/>
      <c r="F44" s="57"/>
      <c r="G44" s="60"/>
      <c r="H44" s="61"/>
      <c r="I44" s="33" t="str">
        <f>IF($B44=0,"",VLOOKUP($B44,Materials[],5,FALSE))</f>
        <v/>
      </c>
      <c r="J44" s="34" t="str">
        <f>IF($B44=0,"",VLOOKUP($B44,Materials[],7,FALSE))</f>
        <v/>
      </c>
      <c r="K44" s="17">
        <f t="shared" si="2"/>
        <v>0</v>
      </c>
      <c r="L44" s="25"/>
    </row>
    <row r="45" spans="1:12" hidden="1">
      <c r="A45" s="54"/>
      <c r="B45" s="171"/>
      <c r="C45" s="215" t="str">
        <f>IF(B45=0,"",VLOOKUP($B45,Materials[],2,FALSE))</f>
        <v/>
      </c>
      <c r="D45" s="215"/>
      <c r="E45" s="215"/>
      <c r="F45" s="57"/>
      <c r="G45" s="60"/>
      <c r="H45" s="61"/>
      <c r="I45" s="33" t="str">
        <f>IF($B45=0,"",VLOOKUP($B45,Materials[],5,FALSE))</f>
        <v/>
      </c>
      <c r="J45" s="34" t="str">
        <f>IF($B45=0,"",VLOOKUP($B45,Materials[],7,FALSE))</f>
        <v/>
      </c>
      <c r="K45" s="17">
        <f t="shared" si="2"/>
        <v>0</v>
      </c>
      <c r="L45" s="25"/>
    </row>
    <row r="46" spans="1:12" hidden="1">
      <c r="A46" s="1"/>
      <c r="B46" s="171"/>
      <c r="C46" s="215" t="str">
        <f>IF(B46=0,"",VLOOKUP($B46,Materials[],2,FALSE))</f>
        <v/>
      </c>
      <c r="D46" s="215"/>
      <c r="E46" s="215"/>
      <c r="F46" s="57"/>
      <c r="G46" s="60"/>
      <c r="H46" s="61"/>
      <c r="I46" s="33" t="str">
        <f>IF($B46=0,"",VLOOKUP($B46,Materials[],5,FALSE))</f>
        <v/>
      </c>
      <c r="J46" s="34" t="str">
        <f>IF($B46=0,"",VLOOKUP($B46,Materials[],7,FALSE))</f>
        <v/>
      </c>
      <c r="K46" s="17">
        <f t="shared" si="2"/>
        <v>0</v>
      </c>
      <c r="L46" s="25"/>
    </row>
    <row r="47" spans="1:12" hidden="1">
      <c r="A47" s="1"/>
      <c r="B47" s="171"/>
      <c r="C47" s="215" t="str">
        <f>IF(B47=0,"",VLOOKUP($B47,Materials[],2,FALSE))</f>
        <v/>
      </c>
      <c r="D47" s="215"/>
      <c r="E47" s="215"/>
      <c r="F47" s="57"/>
      <c r="G47" s="60"/>
      <c r="H47" s="61"/>
      <c r="I47" s="33" t="str">
        <f>IF($B47=0,"",VLOOKUP($B47,Materials[],5,FALSE))</f>
        <v/>
      </c>
      <c r="J47" s="34" t="str">
        <f>IF($B47=0,"",VLOOKUP($B47,Materials[],7,FALSE))</f>
        <v/>
      </c>
      <c r="K47" s="17">
        <f t="shared" si="2"/>
        <v>0</v>
      </c>
      <c r="L47" s="25"/>
    </row>
    <row r="48" spans="1:12" hidden="1">
      <c r="B48" s="172"/>
      <c r="C48" s="215" t="str">
        <f>IF(B48=0,"",VLOOKUP($B48,Materials[],2,FALSE))</f>
        <v/>
      </c>
      <c r="D48" s="215"/>
      <c r="E48" s="215"/>
      <c r="F48" s="58"/>
      <c r="G48" s="60"/>
      <c r="H48" s="63"/>
      <c r="I48" s="33" t="str">
        <f>IF($B48=0,"",VLOOKUP($B48,Materials[],5,FALSE))</f>
        <v/>
      </c>
      <c r="J48" s="34" t="str">
        <f>IF($B48=0,"",VLOOKUP($B48,Materials[],7,FALSE))</f>
        <v/>
      </c>
      <c r="K48" s="17">
        <f t="shared" si="2"/>
        <v>0</v>
      </c>
      <c r="L48" s="25"/>
    </row>
    <row r="49" spans="2:12" hidden="1">
      <c r="B49" s="172"/>
      <c r="C49" s="215" t="str">
        <f>IF(B49=0,"",VLOOKUP($B49,Materials[],2,FALSE))</f>
        <v/>
      </c>
      <c r="D49" s="215"/>
      <c r="E49" s="215"/>
      <c r="F49" s="58"/>
      <c r="G49" s="60"/>
      <c r="H49" s="63"/>
      <c r="I49" s="33" t="str">
        <f>IF($B49=0,"",VLOOKUP($B49,Materials[],5,FALSE))</f>
        <v/>
      </c>
      <c r="J49" s="34" t="str">
        <f>IF($B49=0,"",VLOOKUP($B49,Materials[],7,FALSE))</f>
        <v/>
      </c>
      <c r="K49" s="17">
        <f t="shared" si="2"/>
        <v>0</v>
      </c>
      <c r="L49" s="25"/>
    </row>
    <row r="50" spans="2:12" hidden="1">
      <c r="B50" s="172"/>
      <c r="C50" s="215" t="str">
        <f>IF(B50=0,"",VLOOKUP($B50,Materials[],2,FALSE))</f>
        <v/>
      </c>
      <c r="D50" s="215"/>
      <c r="E50" s="215"/>
      <c r="F50" s="58"/>
      <c r="G50" s="64"/>
      <c r="H50" s="63"/>
      <c r="I50" s="33" t="str">
        <f>IF($B50=0,"",VLOOKUP($B50,Materials[],5,FALSE))</f>
        <v/>
      </c>
      <c r="J50" s="34" t="str">
        <f>IF($B50=0,"",VLOOKUP($B50,Materials[],7,FALSE))</f>
        <v/>
      </c>
      <c r="K50" s="17">
        <f t="shared" si="2"/>
        <v>0</v>
      </c>
      <c r="L50" s="25"/>
    </row>
    <row r="51" spans="2:12" hidden="1">
      <c r="B51" s="172"/>
      <c r="C51" s="215" t="str">
        <f>IF(B51=0,"",VLOOKUP($B51,Materials[],2,FALSE))</f>
        <v/>
      </c>
      <c r="D51" s="215"/>
      <c r="E51" s="215"/>
      <c r="F51" s="58"/>
      <c r="G51" s="64"/>
      <c r="H51" s="63"/>
      <c r="I51" s="33" t="str">
        <f>IF($B51=0,"",VLOOKUP($B51,Materials[],5,FALSE))</f>
        <v/>
      </c>
      <c r="J51" s="34" t="str">
        <f>IF($B51=0,"",VLOOKUP($B51,Materials[],7,FALSE))</f>
        <v/>
      </c>
      <c r="K51" s="17">
        <f t="shared" si="2"/>
        <v>0</v>
      </c>
      <c r="L51" s="25"/>
    </row>
    <row r="52" spans="2:12" hidden="1">
      <c r="B52" s="172"/>
      <c r="C52" s="215" t="str">
        <f>IF(B52=0,"",VLOOKUP($B52,Materials[],2,FALSE))</f>
        <v/>
      </c>
      <c r="D52" s="215"/>
      <c r="E52" s="215"/>
      <c r="F52" s="58"/>
      <c r="G52" s="64"/>
      <c r="H52" s="63"/>
      <c r="I52" s="33" t="str">
        <f>IF($B52=0,"",VLOOKUP($B52,Materials[],5,FALSE))</f>
        <v/>
      </c>
      <c r="J52" s="34" t="str">
        <f>IF($B52=0,"",VLOOKUP($B52,Materials[],7,FALSE))</f>
        <v/>
      </c>
      <c r="K52" s="17">
        <f t="shared" si="2"/>
        <v>0</v>
      </c>
      <c r="L52" s="25"/>
    </row>
    <row r="53" spans="2:12" hidden="1">
      <c r="B53" s="172"/>
      <c r="C53" s="215" t="str">
        <f>IF(B53=0,"",VLOOKUP($B53,Materials[],2,FALSE))</f>
        <v/>
      </c>
      <c r="D53" s="215"/>
      <c r="E53" s="215"/>
      <c r="F53" s="58"/>
      <c r="G53" s="64"/>
      <c r="H53" s="63"/>
      <c r="I53" s="33" t="str">
        <f>IF($B53=0,"",VLOOKUP($B53,Materials[],5,FALSE))</f>
        <v/>
      </c>
      <c r="J53" s="34" t="str">
        <f>IF($B53=0,"",VLOOKUP($B53,Materials[],7,FALSE))</f>
        <v/>
      </c>
      <c r="K53" s="17">
        <f t="shared" si="2"/>
        <v>0</v>
      </c>
      <c r="L53" s="26"/>
    </row>
    <row r="54" spans="2:12" hidden="1">
      <c r="B54" s="172"/>
      <c r="C54" s="215" t="str">
        <f>IF(B54=0,"",VLOOKUP($B54,Materials[],2,FALSE))</f>
        <v/>
      </c>
      <c r="D54" s="215"/>
      <c r="E54" s="215"/>
      <c r="F54" s="58"/>
      <c r="G54" s="64"/>
      <c r="H54" s="63"/>
      <c r="I54" s="33" t="str">
        <f>IF($B54=0,"",VLOOKUP($B54,Materials[],5,FALSE))</f>
        <v/>
      </c>
      <c r="J54" s="34" t="str">
        <f>IF($B54=0,"",VLOOKUP($B54,Materials[],7,FALSE))</f>
        <v/>
      </c>
      <c r="K54" s="17">
        <f t="shared" ref="K54:K58" si="3">IF(B54=0,0,ROUND(G54*H54*J54,2))</f>
        <v>0</v>
      </c>
      <c r="L54" s="26"/>
    </row>
    <row r="55" spans="2:12" hidden="1">
      <c r="B55" s="172"/>
      <c r="C55" s="215" t="str">
        <f>IF(B55=0,"",VLOOKUP($B55,Materials[],2,FALSE))</f>
        <v/>
      </c>
      <c r="D55" s="215"/>
      <c r="E55" s="215"/>
      <c r="F55" s="58"/>
      <c r="G55" s="64"/>
      <c r="H55" s="63"/>
      <c r="I55" s="33" t="str">
        <f>IF($B55=0,"",VLOOKUP($B55,Materials[],5,FALSE))</f>
        <v/>
      </c>
      <c r="J55" s="34" t="str">
        <f>IF($B55=0,"",VLOOKUP($B55,Materials[],7,FALSE))</f>
        <v/>
      </c>
      <c r="K55" s="17">
        <f t="shared" si="3"/>
        <v>0</v>
      </c>
      <c r="L55" s="26"/>
    </row>
    <row r="56" spans="2:12" hidden="1">
      <c r="B56" s="172"/>
      <c r="C56" s="215" t="str">
        <f>IF(B56=0,"",VLOOKUP($B56,Materials[],2,FALSE))</f>
        <v/>
      </c>
      <c r="D56" s="215"/>
      <c r="E56" s="215"/>
      <c r="F56" s="58"/>
      <c r="G56" s="64"/>
      <c r="H56" s="63"/>
      <c r="I56" s="33" t="str">
        <f>IF($B56=0,"",VLOOKUP($B56,Materials[],5,FALSE))</f>
        <v/>
      </c>
      <c r="J56" s="34" t="str">
        <f>IF($B56=0,"",VLOOKUP($B56,Materials[],7,FALSE))</f>
        <v/>
      </c>
      <c r="K56" s="17">
        <f t="shared" si="3"/>
        <v>0</v>
      </c>
      <c r="L56" s="26"/>
    </row>
    <row r="57" spans="2:12" hidden="1">
      <c r="B57" s="172"/>
      <c r="C57" s="215" t="str">
        <f>IF(B57=0,"",VLOOKUP($B57,Materials[],2,FALSE))</f>
        <v/>
      </c>
      <c r="D57" s="215"/>
      <c r="E57" s="215"/>
      <c r="F57" s="58"/>
      <c r="G57" s="64"/>
      <c r="H57" s="63"/>
      <c r="I57" s="33" t="str">
        <f>IF($B57=0,"",VLOOKUP($B57,Materials[],5,FALSE))</f>
        <v/>
      </c>
      <c r="J57" s="34" t="str">
        <f>IF($B57=0,"",VLOOKUP($B57,Materials[],7,FALSE))</f>
        <v/>
      </c>
      <c r="K57" s="17">
        <f t="shared" si="3"/>
        <v>0</v>
      </c>
      <c r="L57" s="26"/>
    </row>
    <row r="58" spans="2:12" hidden="1">
      <c r="B58" s="172"/>
      <c r="C58" s="215" t="str">
        <f>IF(B58=0,"",VLOOKUP($B58,Materials[],2,FALSE))</f>
        <v/>
      </c>
      <c r="D58" s="215"/>
      <c r="E58" s="215"/>
      <c r="F58" s="58"/>
      <c r="G58" s="64"/>
      <c r="H58" s="63"/>
      <c r="I58" s="33" t="str">
        <f>IF($B58=0,"",VLOOKUP($B58,Materials[],5,FALSE))</f>
        <v/>
      </c>
      <c r="J58" s="34" t="str">
        <f>IF($B58=0,"",VLOOKUP($B58,Materials[],7,FALSE))</f>
        <v/>
      </c>
      <c r="K58" s="17">
        <f t="shared" si="3"/>
        <v>0</v>
      </c>
      <c r="L58" s="26"/>
    </row>
    <row r="59" spans="2:12" hidden="1">
      <c r="B59" s="172"/>
      <c r="C59" s="215" t="str">
        <f>IF(B59=0,"",VLOOKUP($B59,Materials[],2,FALSE))</f>
        <v/>
      </c>
      <c r="D59" s="215"/>
      <c r="E59" s="215"/>
      <c r="F59" s="58"/>
      <c r="G59" s="64"/>
      <c r="H59" s="63"/>
      <c r="I59" s="33" t="str">
        <f>IF($B59=0,"",VLOOKUP($B59,Materials[],5,FALSE))</f>
        <v/>
      </c>
      <c r="J59" s="34" t="str">
        <f>IF($B59=0,"",VLOOKUP($B59,Materials[],7,FALSE))</f>
        <v/>
      </c>
      <c r="K59" s="18">
        <f t="shared" si="2"/>
        <v>0</v>
      </c>
      <c r="L59" s="26"/>
    </row>
    <row r="60" spans="2:12" ht="3.75" customHeight="1" thickBot="1">
      <c r="B60" s="27"/>
      <c r="C60" s="35"/>
      <c r="D60" s="35"/>
      <c r="E60" s="35"/>
      <c r="F60" s="28"/>
      <c r="G60" s="36"/>
      <c r="H60" s="37"/>
      <c r="I60" s="38"/>
      <c r="J60" s="39"/>
      <c r="K60" s="20"/>
      <c r="L60" s="29"/>
    </row>
    <row r="61" spans="2:12" ht="13.5" thickTop="1">
      <c r="C61" s="30" t="s">
        <v>100</v>
      </c>
      <c r="D61" s="30"/>
      <c r="J61" s="17"/>
      <c r="K61" s="17">
        <f>SUM(K35:K59)</f>
        <v>181</v>
      </c>
      <c r="L61" s="25"/>
    </row>
    <row r="62" spans="2:12">
      <c r="B62" s="55"/>
    </row>
    <row r="63" spans="2:12">
      <c r="B63" s="24" t="s">
        <v>104</v>
      </c>
      <c r="K63" s="17">
        <f>K31+K61</f>
        <v>402.02</v>
      </c>
      <c r="L63" s="25"/>
    </row>
    <row r="64" spans="2:12" ht="13.5" thickBot="1">
      <c r="D64" s="40" t="s">
        <v>399</v>
      </c>
      <c r="E64" s="41">
        <f>SUM($E$31:$H$31)+$K$61</f>
        <v>371.16999999999996</v>
      </c>
      <c r="F64" s="217" t="s">
        <v>400</v>
      </c>
      <c r="G64" s="217"/>
      <c r="H64" s="42">
        <f>'General Variables'!$B$9</f>
        <v>0.08</v>
      </c>
      <c r="I64" s="43" t="str">
        <f>CONCATENATE("for ",TEXT('General Variables'!$B$10,"0.0")," mo.")</f>
        <v>for 6.0 mo.</v>
      </c>
      <c r="K64" s="44">
        <f>ROUND(E64*H64*'General Variables'!$B$10/12,2)</f>
        <v>14.85</v>
      </c>
      <c r="L64" s="45"/>
    </row>
    <row r="65" spans="2:12" ht="13.5" thickTop="1">
      <c r="B65" s="24" t="s">
        <v>404</v>
      </c>
      <c r="K65" s="17">
        <f>SUM(K63:K64)</f>
        <v>416.87</v>
      </c>
      <c r="L65" s="25"/>
    </row>
    <row r="67" spans="2:12">
      <c r="B67" s="46" t="s">
        <v>429</v>
      </c>
      <c r="C67" s="47"/>
      <c r="D67" s="47"/>
      <c r="E67" s="47"/>
      <c r="F67" s="47"/>
      <c r="G67" s="47"/>
      <c r="H67" s="47"/>
      <c r="I67" s="47"/>
      <c r="J67" s="47"/>
      <c r="K67" s="48">
        <f>'General Variables'!B12</f>
        <v>20</v>
      </c>
      <c r="L67" s="25"/>
    </row>
    <row r="68" spans="2:12">
      <c r="B68" s="9" t="s">
        <v>407</v>
      </c>
      <c r="C68" s="218" t="s">
        <v>411</v>
      </c>
      <c r="D68" s="219"/>
      <c r="E68" s="220"/>
      <c r="F68" s="49">
        <f>IF(C68=0,0,VLOOKUP(C68,RETable,2,FALSE))</f>
        <v>4343</v>
      </c>
      <c r="G68" s="217" t="s">
        <v>408</v>
      </c>
      <c r="H68" s="217"/>
      <c r="I68" s="42">
        <f>'General Variables'!$B$8</f>
        <v>0.04</v>
      </c>
      <c r="K68" s="50">
        <f>ROUND(F68*I68,2)</f>
        <v>173.72</v>
      </c>
      <c r="L68" s="25"/>
    </row>
    <row r="69" spans="2:12" ht="13.5" thickBot="1">
      <c r="B69" s="9" t="s">
        <v>416</v>
      </c>
      <c r="F69" s="51">
        <f>IF(C68=0,0,VLOOKUP(C68,RETable,2,FALSE))</f>
        <v>4343</v>
      </c>
      <c r="G69" s="216" t="s">
        <v>408</v>
      </c>
      <c r="H69" s="216"/>
      <c r="I69" s="52">
        <f>'General Variables'!$B$11</f>
        <v>0.01</v>
      </c>
      <c r="J69" s="1"/>
      <c r="K69" s="53">
        <f>ROUND(F69*I69,2)</f>
        <v>43.43</v>
      </c>
      <c r="L69" s="45"/>
    </row>
    <row r="70" spans="2:12" ht="13.5" thickTop="1">
      <c r="B70" s="24" t="s">
        <v>422</v>
      </c>
      <c r="K70" s="17">
        <f>SUM(K65:K69)</f>
        <v>654.02</v>
      </c>
      <c r="L70" s="25"/>
    </row>
    <row r="72" spans="2:12">
      <c r="B72" s="24" t="str">
        <f>"Cost per "&amp;$B$4</f>
        <v>Cost per AUM</v>
      </c>
      <c r="K72" s="17">
        <f>IF(A4="Yield",0,K70/$A$4)</f>
        <v>59.456363636363633</v>
      </c>
      <c r="L72" s="25"/>
    </row>
    <row r="73" spans="2:12">
      <c r="B73" s="10" t="str">
        <f>"Cash Cost per "&amp;$B$4</f>
        <v>Cash Cost per AUM</v>
      </c>
      <c r="C73" s="1"/>
      <c r="D73" s="1"/>
      <c r="E73" s="1"/>
      <c r="F73" s="1"/>
      <c r="G73" s="1"/>
      <c r="H73" s="1"/>
      <c r="I73" s="1"/>
      <c r="J73" s="1"/>
      <c r="K73" s="8">
        <f>IF($A$4="Yield",0,(E64+K64+K69)/$A$4)</f>
        <v>39.040909090909089</v>
      </c>
      <c r="L73" s="56"/>
    </row>
    <row r="83" spans="2:4">
      <c r="B83" s="22"/>
      <c r="C83" s="22"/>
      <c r="D83" s="22"/>
    </row>
    <row r="84" spans="2:4">
      <c r="B84" s="22"/>
      <c r="C84" s="22"/>
      <c r="D84" s="22"/>
    </row>
    <row r="85" spans="2:4">
      <c r="B85" s="22"/>
      <c r="C85" s="22"/>
      <c r="D85" s="22"/>
    </row>
    <row r="86" spans="2:4">
      <c r="B86" s="22"/>
      <c r="C86" s="22"/>
      <c r="D86" s="22"/>
    </row>
    <row r="87" spans="2:4">
      <c r="B87" s="22"/>
      <c r="C87" s="22"/>
      <c r="D87" s="22"/>
    </row>
    <row r="88" spans="2:4">
      <c r="B88" s="22"/>
      <c r="C88" s="22"/>
      <c r="D88" s="22"/>
    </row>
    <row r="89" spans="2:4">
      <c r="B89" s="22"/>
      <c r="C89" s="22"/>
      <c r="D89" s="22"/>
    </row>
    <row r="90" spans="2:4">
      <c r="B90" s="22"/>
      <c r="C90" s="22"/>
      <c r="D90" s="22"/>
    </row>
    <row r="91" spans="2:4">
      <c r="B91" s="22"/>
      <c r="C91" s="22"/>
      <c r="D91" s="22"/>
    </row>
    <row r="92" spans="2:4">
      <c r="B92" s="22"/>
      <c r="C92" s="22"/>
      <c r="D92" s="22"/>
    </row>
    <row r="93" spans="2:4">
      <c r="B93" s="22"/>
      <c r="C93" s="22"/>
      <c r="D93" s="22"/>
    </row>
    <row r="94" spans="2:4">
      <c r="B94" s="22"/>
      <c r="C94" s="22"/>
      <c r="D94" s="22"/>
    </row>
    <row r="95" spans="2:4">
      <c r="B95" s="22"/>
      <c r="C95" s="22"/>
      <c r="D95" s="22"/>
    </row>
    <row r="96" spans="2:4">
      <c r="B96" s="22"/>
      <c r="C96" s="22"/>
      <c r="D96" s="22"/>
    </row>
    <row r="97" spans="2:6">
      <c r="B97" s="22"/>
      <c r="C97" s="22"/>
      <c r="D97" s="22"/>
    </row>
    <row r="98" spans="2:6">
      <c r="B98" s="22"/>
      <c r="C98" s="22"/>
      <c r="D98" s="22"/>
    </row>
    <row r="99" spans="2:6">
      <c r="B99" s="22"/>
      <c r="C99" s="22"/>
      <c r="D99" s="22"/>
    </row>
    <row r="100" spans="2:6">
      <c r="B100" s="22"/>
      <c r="C100" s="22"/>
      <c r="D100" s="22"/>
    </row>
    <row r="101" spans="2:6">
      <c r="B101" s="22"/>
      <c r="C101" s="22"/>
      <c r="D101" s="22"/>
    </row>
    <row r="102" spans="2:6">
      <c r="B102" s="22"/>
      <c r="C102" s="22"/>
      <c r="D102" s="22"/>
    </row>
    <row r="103" spans="2:6">
      <c r="B103" s="22"/>
      <c r="C103" s="22"/>
      <c r="D103" s="22"/>
    </row>
    <row r="104" spans="2:6">
      <c r="B104" s="22"/>
      <c r="C104" s="22"/>
      <c r="D104" s="22"/>
    </row>
    <row r="105" spans="2:6">
      <c r="B105" s="22"/>
      <c r="C105" s="22"/>
      <c r="D105" s="22"/>
    </row>
    <row r="106" spans="2:6">
      <c r="B106" s="22"/>
      <c r="C106" s="22"/>
      <c r="D106" s="22"/>
    </row>
    <row r="107" spans="2:6">
      <c r="B107" s="22"/>
      <c r="C107" s="22"/>
      <c r="D107" s="22"/>
    </row>
    <row r="108" spans="2:6">
      <c r="B108" s="1" t="str">
        <f>IF(Operations!A2="","",Operations!A2)</f>
        <v>Aerial Spray</v>
      </c>
      <c r="C108" s="1" t="str">
        <f>IF(Materials!B2="","",Materials!B2)</f>
        <v>Drybean Premium</v>
      </c>
      <c r="D108" s="1"/>
      <c r="F108" s="9" t="str">
        <f>IF('General Variables'!E3=0,"",'General Variables'!E3)</f>
        <v>Dryland (State)</v>
      </c>
    </row>
    <row r="109" spans="2:6">
      <c r="B109" s="1" t="str">
        <f>IF(Operations!A3="","",Operations!A3)</f>
        <v>Anhy Apply (supplier)</v>
      </c>
      <c r="C109" s="1" t="str">
        <f>IF(Materials!B3="","",Materials!B3)</f>
        <v>Grain Sorghum Premium</v>
      </c>
      <c r="D109" s="1"/>
      <c r="F109" s="9" t="str">
        <f>IF('General Variables'!E4=0,"",'General Variables'!E4)</f>
        <v>Dryland (Panhandle)</v>
      </c>
    </row>
    <row r="110" spans="2:6">
      <c r="B110" s="1" t="str">
        <f>IF(Operations!A4="","",Operations!A4)</f>
        <v>Anhydrous Apply</v>
      </c>
      <c r="C110" s="1" t="str">
        <f>IF(Materials!B4="","",Materials!B4)</f>
        <v>Irrigated Corn Premium</v>
      </c>
      <c r="D110" s="1"/>
      <c r="F110" s="9" t="str">
        <f>IF('General Variables'!E5=0,"",'General Variables'!E5)</f>
        <v>Gravity (State)</v>
      </c>
    </row>
    <row r="111" spans="2:6">
      <c r="B111" s="1" t="str">
        <f>IF(Operations!A5="","",Operations!A5)</f>
        <v>Cart</v>
      </c>
      <c r="C111" s="1" t="str">
        <f>IF(Materials!B5="","",Materials!B5)</f>
        <v>Irrigated Soybean Premium</v>
      </c>
      <c r="D111" s="1"/>
      <c r="F111" s="9" t="str">
        <f>IF('General Variables'!E6=0,"",'General Variables'!E6)</f>
        <v>Gravity (Panhandle)</v>
      </c>
    </row>
    <row r="112" spans="2:6">
      <c r="B112" s="1" t="str">
        <f>IF(Operations!A6="","",Operations!A6)</f>
        <v>Chisel</v>
      </c>
      <c r="C112" s="1" t="str">
        <f>IF(Materials!B6="","",Materials!B6)</f>
        <v>Dryland Corn Premium</v>
      </c>
      <c r="D112" s="1"/>
      <c r="F112" s="9" t="str">
        <f>IF('General Variables'!E7=0,"",'General Variables'!E7)</f>
        <v>Pivot (State)</v>
      </c>
    </row>
    <row r="113" spans="2:6">
      <c r="B113" s="1" t="str">
        <f>IF(Operations!A7="","",Operations!A7)</f>
        <v>Chop Silage</v>
      </c>
      <c r="C113" s="1" t="str">
        <f>IF(Materials!B7="","",Materials!B7)</f>
        <v>Dryland Soybean Premium</v>
      </c>
      <c r="D113" s="1"/>
      <c r="F113" s="9" t="str">
        <f>IF('General Variables'!E8=0,"",'General Variables'!E8)</f>
        <v>Pivot (Panhandle)</v>
      </c>
    </row>
    <row r="114" spans="2:6">
      <c r="B114" s="1" t="str">
        <f>IF(Operations!A8="","",Operations!A8)</f>
        <v>Chop Stalks</v>
      </c>
      <c r="C114" s="1" t="str">
        <f>IF(Materials!B8="","",Materials!B8)</f>
        <v>Sugar Beets Premium</v>
      </c>
      <c r="D114" s="1"/>
      <c r="F114" s="9" t="str">
        <f>IF('General Variables'!E9=0,"",'General Variables'!E9)</f>
        <v>Dryland (Southwest)</v>
      </c>
    </row>
    <row r="115" spans="2:6">
      <c r="B115" s="1" t="str">
        <f>IF(Operations!A9="","",Operations!A9)</f>
        <v>Combine dryland</v>
      </c>
      <c r="C115" s="1" t="str">
        <f>IF(Materials!B9="","",Materials!B9)</f>
        <v>Wheat Premium</v>
      </c>
      <c r="D115" s="1"/>
      <c r="F115" s="9" t="str">
        <f>IF('General Variables'!E10=0,"",'General Variables'!E10)</f>
        <v/>
      </c>
    </row>
    <row r="116" spans="2:6">
      <c r="B116" s="1" t="str">
        <f>IF(Operations!A10="","",Operations!A10)</f>
        <v>Combine Irr Corn</v>
      </c>
      <c r="C116" s="1" t="str">
        <f>IF(Materials!B10="","",Materials!B10)</f>
        <v>Aerial Spray</v>
      </c>
      <c r="D116" s="1"/>
      <c r="F116" s="9" t="str">
        <f>IF('General Variables'!E11=0,"",'General Variables'!E11)</f>
        <v/>
      </c>
    </row>
    <row r="117" spans="2:6">
      <c r="B117" s="1" t="str">
        <f>IF(Operations!A11="","",Operations!A11)</f>
        <v>Combine Irr Dry Beans</v>
      </c>
      <c r="C117" s="1" t="str">
        <f>IF(Materials!B11="","",Materials!B11)</f>
        <v>Bale Lg Sq 1200 lb</v>
      </c>
      <c r="D117" s="1"/>
      <c r="F117" s="9" t="str">
        <f>IF('General Variables'!E12=0,"",'General Variables'!E12)</f>
        <v/>
      </c>
    </row>
    <row r="118" spans="2:6">
      <c r="B118" s="1" t="str">
        <f>IF(Operations!A12="","",Operations!A12)</f>
        <v>Combine Irr SB</v>
      </c>
      <c r="C118" s="1" t="str">
        <f>IF(Materials!B12="","",Materials!B12)</f>
        <v>Chop, Haul, Pack</v>
      </c>
      <c r="D118" s="1"/>
      <c r="F118" s="9" t="str">
        <f>IF('General Variables'!E13=0,"",'General Variables'!E13)</f>
        <v/>
      </c>
    </row>
    <row r="119" spans="2:6">
      <c r="B119" s="1" t="str">
        <f>IF(Operations!A13="","",Operations!A13)</f>
        <v>Combine Irr SG</v>
      </c>
      <c r="C119" s="1" t="str">
        <f>IF(Materials!B13="","",Materials!B13)</f>
        <v>Dry 4 Points Removed</v>
      </c>
      <c r="D119" s="1"/>
      <c r="F119" s="9" t="str">
        <f>IF('General Variables'!E14=0,"",'General Variables'!E14)</f>
        <v/>
      </c>
    </row>
    <row r="120" spans="2:6">
      <c r="B120" s="1" t="str">
        <f>IF(Operations!A14="","",Operations!A14)</f>
        <v>Combine Dryland Corn</v>
      </c>
      <c r="C120" s="1" t="str">
        <f>IF(Materials!B14="","",Materials!B14)</f>
        <v>Haul &amp; Apply Manure</v>
      </c>
      <c r="D120" s="1"/>
      <c r="F120" s="9" t="str">
        <f>IF('General Variables'!E15=0,"",'General Variables'!E15)</f>
        <v/>
      </c>
    </row>
    <row r="121" spans="2:6">
      <c r="B121" s="1" t="str">
        <f>IF(Operations!A15="","",Operations!A15)</f>
        <v>Combine Dryland SB</v>
      </c>
      <c r="C121" s="1" t="str">
        <f>IF(Materials!B15="","",Materials!B15)</f>
        <v>Haul Beets</v>
      </c>
      <c r="D121" s="1"/>
      <c r="F121" s="9" t="str">
        <f>IF('General Variables'!E16=0,"",'General Variables'!E16)</f>
        <v/>
      </c>
    </row>
    <row r="122" spans="2:6">
      <c r="B122" s="1" t="str">
        <f>IF(Operations!A16="","",Operations!A16)</f>
        <v>Combine Dryland SG</v>
      </c>
      <c r="C122" s="1" t="str">
        <f>IF(Materials!B16="","",Materials!B16)</f>
        <v>Haul Grain (Dry Beans)</v>
      </c>
      <c r="D122" s="1"/>
      <c r="F122" s="9" t="str">
        <f>IF('General Variables'!E17=0,"",'General Variables'!E17)</f>
        <v/>
      </c>
    </row>
    <row r="123" spans="2:6">
      <c r="B123" s="1" t="str">
        <f>IF(Operations!A17="","",Operations!A17)</f>
        <v>Combine Dryland Sunflowers</v>
      </c>
      <c r="C123" s="1" t="str">
        <f>IF(Materials!B17="","",Materials!B17)</f>
        <v>Haul Grain (Millet)</v>
      </c>
      <c r="D123" s="1"/>
      <c r="F123" s="9" t="str">
        <f>IF('General Variables'!E18=0,"",'General Variables'!E18)</f>
        <v/>
      </c>
    </row>
    <row r="124" spans="2:6">
      <c r="B124" s="1" t="str">
        <f>IF(Operations!A18="","",Operations!A18)</f>
        <v>Corrugate</v>
      </c>
      <c r="C124" s="1" t="str">
        <f>IF(Materials!B18="","",Materials!B18)</f>
        <v>Haul Grain (Sunflower)</v>
      </c>
      <c r="D124" s="1"/>
      <c r="F124" s="9" t="str">
        <f>IF('General Variables'!E19=0,"",'General Variables'!E19)</f>
        <v/>
      </c>
    </row>
    <row r="125" spans="2:6">
      <c r="B125" s="1" t="str">
        <f>IF(Operations!A19="","",Operations!A19)</f>
        <v>Cut Beans</v>
      </c>
      <c r="C125" s="1" t="str">
        <f>IF(Materials!B19="","",Materials!B19)</f>
        <v>Haul Grain bu</v>
      </c>
      <c r="D125" s="1"/>
      <c r="F125" s="9" t="str">
        <f>IF('General Variables'!E20=0,"",'General Variables'!E20)</f>
        <v/>
      </c>
    </row>
    <row r="126" spans="2:6">
      <c r="B126" s="1" t="str">
        <f>IF(Operations!A20="","",Operations!A20)</f>
        <v>Disc</v>
      </c>
      <c r="C126" s="1" t="str">
        <f>IF(Materials!B20="","",Materials!B20)</f>
        <v>Spray</v>
      </c>
      <c r="D126" s="1"/>
      <c r="F126" s="9" t="str">
        <f>IF('General Variables'!E21=0,"",'General Variables'!E21)</f>
        <v/>
      </c>
    </row>
    <row r="127" spans="2:6">
      <c r="B127" s="1" t="str">
        <f>IF(Operations!A21="","",Operations!A21)</f>
        <v>Ditch Irrigation</v>
      </c>
      <c r="C127" s="1" t="str">
        <f>IF(Materials!B21="","",Materials!B21)</f>
        <v>10-34-0</v>
      </c>
      <c r="D127" s="1"/>
      <c r="F127" s="9" t="str">
        <f>IF('General Variables'!E22=0,"",'General Variables'!E22)</f>
        <v/>
      </c>
    </row>
    <row r="128" spans="2:6">
      <c r="B128" s="1" t="str">
        <f>IF(Operations!A22="","",Operations!A22)</f>
        <v>Double Windrows</v>
      </c>
      <c r="C128" s="1" t="str">
        <f>IF(Materials!B22="","",Materials!B22)</f>
        <v>10-34-0-1Z</v>
      </c>
      <c r="D128" s="1"/>
      <c r="F128" s="9" t="str">
        <f>IF('General Variables'!E23=0,"",'General Variables'!E23)</f>
        <v/>
      </c>
    </row>
    <row r="129" spans="2:6">
      <c r="B129" s="1" t="str">
        <f>IF(Operations!A23="","",Operations!A23)</f>
        <v>Drill</v>
      </c>
      <c r="C129" s="1" t="str">
        <f>IF(Materials!B23="","",Materials!B23)</f>
        <v>11-52-0</v>
      </c>
      <c r="D129" s="1"/>
      <c r="F129" s="9" t="str">
        <f>IF('General Variables'!E24=0,"",'General Variables'!E24)</f>
        <v/>
      </c>
    </row>
    <row r="130" spans="2:6">
      <c r="B130" s="1" t="str">
        <f>IF(Operations!A24="","",Operations!A24)</f>
        <v>Dry Grain</v>
      </c>
      <c r="C130" s="1" t="str">
        <f>IF(Materials!B24="","",Materials!B24)</f>
        <v xml:space="preserve">21-0-0-26S   </v>
      </c>
      <c r="D130" s="1"/>
      <c r="F130" s="9" t="str">
        <f>IF('General Variables'!E25=0,"",'General Variables'!E25)</f>
        <v/>
      </c>
    </row>
    <row r="131" spans="2:6">
      <c r="B131" s="1" t="str">
        <f>IF(Operations!A25="","",Operations!A25)</f>
        <v>Fallow Master</v>
      </c>
      <c r="C131" s="1" t="str">
        <f>IF(Materials!B25="","",Materials!B25)</f>
        <v>28-0-0</v>
      </c>
      <c r="D131" s="1"/>
      <c r="F131" s="9" t="str">
        <f>IF('General Variables'!E26=0,"",'General Variables'!E26)</f>
        <v/>
      </c>
    </row>
    <row r="132" spans="2:6">
      <c r="B132" s="1" t="str">
        <f>IF(Operations!A26="","",Operations!A26)</f>
        <v>Field Cultivation</v>
      </c>
      <c r="C132" s="1" t="str">
        <f>IF(Materials!B26="","",Materials!B26)</f>
        <v>32-0-0</v>
      </c>
      <c r="D132" s="1"/>
      <c r="F132" s="9" t="str">
        <f>IF('General Variables'!E27=0,"",'General Variables'!E27)</f>
        <v/>
      </c>
    </row>
    <row r="133" spans="2:6">
      <c r="B133" s="1" t="str">
        <f>IF(Operations!A27="","",Operations!A27)</f>
        <v>Grass Drill</v>
      </c>
      <c r="C133" s="1" t="str">
        <f>IF(Materials!B27="","",Materials!B27)</f>
        <v>46-0-0</v>
      </c>
      <c r="D133" s="1"/>
      <c r="F133" s="9" t="str">
        <f>IF('General Variables'!E28=0,"",'General Variables'!E28)</f>
        <v/>
      </c>
    </row>
    <row r="134" spans="2:6">
      <c r="B134" s="1" t="str">
        <f>IF(Operations!A28="","",Operations!A28)</f>
        <v>Harrow</v>
      </c>
      <c r="C134" s="1" t="str">
        <f>IF(Materials!B28="","",Materials!B28)</f>
        <v>82-0-0</v>
      </c>
      <c r="D134" s="1"/>
    </row>
    <row r="135" spans="2:6">
      <c r="B135" s="1" t="str">
        <f>IF(Operations!A29="","",Operations!A29)</f>
        <v>Hill/Ditch</v>
      </c>
      <c r="C135" s="1" t="str">
        <f>IF(Materials!B29="","",Materials!B29)</f>
        <v>Uncomposted manure</v>
      </c>
      <c r="D135" s="1"/>
    </row>
    <row r="136" spans="2:6">
      <c r="B136" s="1" t="str">
        <f>IF(Operations!A30="","",Operations!A30)</f>
        <v>Hoe</v>
      </c>
      <c r="C136" s="1" t="str">
        <f>IF(Materials!B30="","",Materials!B30)</f>
        <v>Copper</v>
      </c>
      <c r="D136" s="1"/>
    </row>
    <row r="137" spans="2:6">
      <c r="B137" s="1" t="str">
        <f>IF(Operations!A31="","",Operations!A31)</f>
        <v>Lg Rd Bale</v>
      </c>
      <c r="C137" s="1" t="str">
        <f>IF(Materials!B31="","",Materials!B31)</f>
        <v>Headline AMP</v>
      </c>
      <c r="D137" s="1"/>
    </row>
    <row r="138" spans="2:6">
      <c r="B138" s="1" t="str">
        <f>IF(Operations!A32="","",Operations!A32)</f>
        <v>Lg Sq Bale</v>
      </c>
      <c r="C138" s="1" t="str">
        <f>IF(Materials!B32="","",Materials!B32)</f>
        <v>Tilt</v>
      </c>
      <c r="D138" s="1"/>
    </row>
    <row r="139" spans="2:6">
      <c r="B139" s="1" t="str">
        <f>IF(Operations!A33="","",Operations!A33)</f>
        <v>Lift Beets</v>
      </c>
      <c r="C139" s="1" t="str">
        <f>IF(Materials!B33="","",Materials!B33)</f>
        <v>2,4-D Amine</v>
      </c>
      <c r="D139" s="1"/>
    </row>
    <row r="140" spans="2:6">
      <c r="B140" s="1" t="str">
        <f>IF(Operations!A34="","",Operations!A34)</f>
        <v>Load Lg Sq</v>
      </c>
      <c r="C140" s="1" t="str">
        <f>IF(Materials!B34="","",Materials!B34)</f>
        <v>2,4-D Ester 4#</v>
      </c>
      <c r="D140" s="1"/>
    </row>
    <row r="141" spans="2:6">
      <c r="B141" s="1" t="str">
        <f>IF(Operations!A35="","",Operations!A35)</f>
        <v>Move Lg Rd</v>
      </c>
      <c r="C141" s="1" t="str">
        <f>IF(Materials!B35="","",Materials!B35)</f>
        <v>AAtrex 4L</v>
      </c>
      <c r="D141" s="1"/>
    </row>
    <row r="142" spans="2:6">
      <c r="B142" s="1" t="str">
        <f>IF(Operations!A36="","",Operations!A36)</f>
        <v>No-Till Drill</v>
      </c>
      <c r="C142" s="1" t="str">
        <f>IF(Materials!B36="","",Materials!B36)</f>
        <v>Aim 2EC</v>
      </c>
      <c r="D142" s="1"/>
    </row>
    <row r="143" spans="2:6">
      <c r="B143" s="1" t="str">
        <f>IF(Operations!A37="","",Operations!A37)</f>
        <v>Pickett Windrowers</v>
      </c>
      <c r="C143" s="1" t="str">
        <f>IF(Materials!B37="","",Materials!B37)</f>
        <v>Ally Extra SG</v>
      </c>
      <c r="D143" s="1"/>
    </row>
    <row r="144" spans="2:6">
      <c r="B144" s="1" t="str">
        <f>IF(Operations!A38="","",Operations!A38)</f>
        <v>Pipe D125’ Lift</v>
      </c>
      <c r="C144" s="1" t="str">
        <f>IF(Materials!B38="","",Materials!B38)</f>
        <v>Authority First/Sonic</v>
      </c>
      <c r="D144" s="1"/>
    </row>
    <row r="145" spans="2:4">
      <c r="B145" s="1" t="str">
        <f>IF(Operations!A39="","",Operations!A39)</f>
        <v>PivotD 125’Lift</v>
      </c>
      <c r="C145" s="1" t="str">
        <f>IF(Materials!B39="","",Materials!B39)</f>
        <v>Balance Flexx</v>
      </c>
      <c r="D145" s="1"/>
    </row>
    <row r="146" spans="2:4">
      <c r="B146" s="1" t="str">
        <f>IF(Operations!A40="","",Operations!A40)</f>
        <v>PivotE 125’Lift</v>
      </c>
      <c r="C146" s="1" t="str">
        <f>IF(Materials!B40="","",Materials!B40)</f>
        <v>Basagran</v>
      </c>
      <c r="D146" s="1"/>
    </row>
    <row r="147" spans="2:4">
      <c r="B147" s="1" t="str">
        <f>IF(Operations!A41="","",Operations!A41)</f>
        <v>Plant</v>
      </c>
      <c r="C147" s="1" t="str">
        <f>IF(Materials!B41="","",Materials!B41)</f>
        <v>Bicep II Magnum</v>
      </c>
      <c r="D147" s="1"/>
    </row>
    <row r="148" spans="2:4">
      <c r="B148" s="1" t="str">
        <f>IF(Operations!A42="","",Operations!A42)</f>
        <v>Plant Narrow Row</v>
      </c>
      <c r="C148" s="1" t="str">
        <f>IF(Materials!B42="","",Materials!B42)</f>
        <v>Crop Oil Concentrate</v>
      </c>
      <c r="D148" s="1"/>
    </row>
    <row r="149" spans="2:4">
      <c r="B149" s="1" t="str">
        <f>IF(Operations!A43="","",Operations!A43)</f>
        <v>Plant No-Till</v>
      </c>
      <c r="C149" s="1" t="str">
        <f>IF(Materials!B43="","",Materials!B43)</f>
        <v>Dicamba</v>
      </c>
      <c r="D149" s="1"/>
    </row>
    <row r="150" spans="2:4">
      <c r="B150" s="1" t="str">
        <f>IF(Operations!A44="","",Operations!A44)</f>
        <v>Ridge Cultivation</v>
      </c>
      <c r="C150" s="1" t="str">
        <f>IF(Materials!B44="","",Materials!B44)</f>
        <v>Expert</v>
      </c>
      <c r="D150" s="1"/>
    </row>
    <row r="151" spans="2:4">
      <c r="B151" s="1" t="str">
        <f>IF(Operations!A45="","",Operations!A45)</f>
        <v>Ridge Plant</v>
      </c>
      <c r="C151" s="1" t="str">
        <f>IF(Materials!B45="","",Materials!B45)</f>
        <v>Glyphosate w/Surf</v>
      </c>
      <c r="D151" s="1"/>
    </row>
    <row r="152" spans="2:4">
      <c r="B152" s="1" t="str">
        <f>IF(Operations!A46="","",Operations!A46)</f>
        <v>Rod Beans</v>
      </c>
      <c r="C152" s="1" t="str">
        <f>IF(Materials!B46="","",Materials!B46)</f>
        <v>Gramoxone Inteon</v>
      </c>
      <c r="D152" s="1"/>
    </row>
    <row r="153" spans="2:4">
      <c r="B153" s="1" t="str">
        <f>IF(Operations!A47="","",Operations!A47)</f>
        <v>Rod Weeder</v>
      </c>
      <c r="C153" s="1" t="str">
        <f>IF(Materials!B47="","",Materials!B47)</f>
        <v>Landmaster BW</v>
      </c>
      <c r="D153" s="1"/>
    </row>
    <row r="154" spans="2:4">
      <c r="B154" s="1" t="str">
        <f>IF(Operations!A48="","",Operations!A48)</f>
        <v>Roll</v>
      </c>
      <c r="C154" s="1" t="str">
        <f>IF(Materials!B48="","",Materials!B48)</f>
        <v>Lumax</v>
      </c>
      <c r="D154" s="1"/>
    </row>
    <row r="155" spans="2:4">
      <c r="B155" s="1" t="str">
        <f>IF(Operations!A49="","",Operations!A49)</f>
        <v>Row Crop Cultivation</v>
      </c>
      <c r="C155" s="1" t="str">
        <f>IF(Materials!B49="","",Materials!B49)</f>
        <v>NIS</v>
      </c>
      <c r="D155" s="1"/>
    </row>
    <row r="156" spans="2:4">
      <c r="B156" s="1" t="str">
        <f>IF(Operations!A50="","",Operations!A50)</f>
        <v>Seeder/Packer</v>
      </c>
      <c r="C156" s="1" t="str">
        <f>IF(Materials!B50="","",Materials!B50)</f>
        <v>Outlook</v>
      </c>
      <c r="D156" s="1"/>
    </row>
    <row r="157" spans="2:4">
      <c r="B157" s="1" t="str">
        <f>IF(Operations!A51="","",Operations!A51)</f>
        <v>Sm Sq Bale</v>
      </c>
      <c r="C157" s="1" t="str">
        <f>IF(Materials!B51="","",Materials!B51)</f>
        <v>Peak</v>
      </c>
      <c r="D157" s="1"/>
    </row>
    <row r="158" spans="2:4">
      <c r="B158" s="1" t="str">
        <f>IF(Operations!A52="","",Operations!A52)</f>
        <v>Spray</v>
      </c>
      <c r="C158" s="1" t="str">
        <f>IF(Materials!B52="","",Materials!B52)</f>
        <v>Prowl H2O</v>
      </c>
      <c r="D158" s="1"/>
    </row>
    <row r="159" spans="2:4">
      <c r="B159" s="1" t="str">
        <f>IF(Operations!A53="","",Operations!A53)</f>
        <v>Spray (on disc)</v>
      </c>
      <c r="C159" s="1" t="str">
        <f>IF(Materials!B53="","",Materials!B53)</f>
        <v xml:space="preserve">Pursuit </v>
      </c>
      <c r="D159" s="1"/>
    </row>
    <row r="160" spans="2:4">
      <c r="B160" s="1" t="str">
        <f>IF(Operations!A54="","",Operations!A54)</f>
        <v>Spray liquid fertilizer</v>
      </c>
      <c r="C160" s="1" t="str">
        <f>IF(Materials!B54="","",Materials!B54)</f>
        <v>Pursuit Plus</v>
      </c>
      <c r="D160" s="1"/>
    </row>
    <row r="161" spans="2:4">
      <c r="B161" s="1" t="str">
        <f>IF(Operations!A55="","",Operations!A55)</f>
        <v>Spread manure</v>
      </c>
      <c r="C161" s="1" t="str">
        <f>IF(Materials!B55="","",Materials!B55)</f>
        <v>Raptor</v>
      </c>
      <c r="D161" s="1"/>
    </row>
    <row r="162" spans="2:4">
      <c r="B162" s="1" t="str">
        <f>IF(Operations!A56="","",Operations!A56)</f>
        <v>Spread, Fertilizer</v>
      </c>
      <c r="C162" s="1" t="str">
        <f>IF(Materials!B56="","",Materials!B56)</f>
        <v>Select Max</v>
      </c>
      <c r="D162" s="1"/>
    </row>
    <row r="163" spans="2:4">
      <c r="B163" s="1" t="str">
        <f>IF(Operations!A57="","",Operations!A57)</f>
        <v>Stack Sm Sq</v>
      </c>
      <c r="C163" s="1" t="str">
        <f>IF(Materials!B57="","",Materials!B57)</f>
        <v>Spartan 4F</v>
      </c>
      <c r="D163" s="1"/>
    </row>
    <row r="164" spans="2:4">
      <c r="B164" s="1" t="str">
        <f>IF(Operations!A58="","",Operations!A58)</f>
        <v>Subsoil</v>
      </c>
      <c r="C164" s="1" t="str">
        <f>IF(Materials!B58="","",Materials!B58)</f>
        <v>Spirit</v>
      </c>
      <c r="D164" s="1"/>
    </row>
    <row r="165" spans="2:4">
      <c r="B165" s="1" t="str">
        <f>IF(Operations!A59="","",Operations!A59)</f>
        <v>Swath/Cond Hay</v>
      </c>
      <c r="C165" s="1" t="str">
        <f>IF(Materials!B59="","",Materials!B59)</f>
        <v>Asana XL</v>
      </c>
      <c r="D165" s="1"/>
    </row>
    <row r="166" spans="2:4">
      <c r="B166" s="1" t="str">
        <f>IF(Operations!A60="","",Operations!A60)</f>
        <v>Till Plant Beets</v>
      </c>
      <c r="C166" s="1" t="str">
        <f>IF(Materials!B60="","",Materials!B60)</f>
        <v>Brigade 2EC</v>
      </c>
      <c r="D166" s="1"/>
    </row>
    <row r="167" spans="2:4">
      <c r="B167" s="1" t="str">
        <f>IF(Operations!A61="","",Operations!A61)</f>
        <v>Top Beets</v>
      </c>
      <c r="C167" s="1" t="str">
        <f>IF(Materials!B61="","",Materials!B61)</f>
        <v>Lorsban 15 G</v>
      </c>
      <c r="D167" s="1"/>
    </row>
    <row r="168" spans="2:4">
      <c r="B168" s="1" t="str">
        <f>IF(Operations!A62="","",Operations!A62)</f>
        <v>Truck</v>
      </c>
      <c r="C168" s="1" t="str">
        <f>IF(Materials!B62="","",Materials!B62)</f>
        <v>Lorsban 4 E</v>
      </c>
      <c r="D168" s="1"/>
    </row>
    <row r="169" spans="2:4">
      <c r="B169" s="1" t="str">
        <f>IF(Operations!A63="","",Operations!A63)</f>
        <v>Turn Windrows</v>
      </c>
      <c r="C169" s="1" t="str">
        <f>IF(Materials!B63="","",Materials!B63)</f>
        <v>Mustang Max EC</v>
      </c>
      <c r="D169" s="1"/>
    </row>
    <row r="170" spans="2:4">
      <c r="B170" s="1" t="str">
        <f>IF(Operations!A64="","",Operations!A64)</f>
        <v>Windrow Grain</v>
      </c>
      <c r="C170" s="1" t="str">
        <f>IF(Materials!B64="","",Materials!B64)</f>
        <v>Regent 4 SC</v>
      </c>
      <c r="D170" s="1"/>
    </row>
    <row r="171" spans="2:4">
      <c r="B171" s="1" t="str">
        <f>IF(Operations!A65="","",Operations!A65)</f>
        <v/>
      </c>
      <c r="C171" s="1" t="str">
        <f>IF(Materials!B65="","",Materials!B65)</f>
        <v>Warrior II/Zeon</v>
      </c>
      <c r="D171" s="1"/>
    </row>
    <row r="172" spans="2:4">
      <c r="B172" s="1" t="str">
        <f>IF(Operations!A66="","",Operations!A66)</f>
        <v/>
      </c>
      <c r="C172" s="1" t="str">
        <f>IF(Materials!B66="","",Materials!B66)</f>
        <v>Elec Connect Fees</v>
      </c>
      <c r="D172" s="1"/>
    </row>
    <row r="173" spans="2:4">
      <c r="B173" s="1" t="str">
        <f>IF(Operations!A67="","",Operations!A67)</f>
        <v/>
      </c>
      <c r="C173" s="1" t="str">
        <f>IF(Materials!B67="","",Materials!B67)</f>
        <v>Fence/water repairs</v>
      </c>
      <c r="D173" s="1"/>
    </row>
    <row r="174" spans="2:4">
      <c r="B174" s="1" t="str">
        <f>IF(Operations!A68="","",Operations!A68)</f>
        <v/>
      </c>
      <c r="C174" s="1" t="str">
        <f>IF(Materials!B68="","",Materials!B68)</f>
        <v>Move Cattle</v>
      </c>
      <c r="D174" s="1"/>
    </row>
    <row r="175" spans="2:4">
      <c r="B175" s="1" t="str">
        <f>IF(Operations!A69="","",Operations!A69)</f>
        <v/>
      </c>
      <c r="C175" s="1" t="str">
        <f>IF(Materials!B69="","",Materials!B69)</f>
        <v>Twine Lg Rd</v>
      </c>
      <c r="D175" s="1"/>
    </row>
    <row r="176" spans="2:4">
      <c r="B176" s="1" t="str">
        <f>IF(Operations!A70="","",Operations!A70)</f>
        <v/>
      </c>
      <c r="C176" s="1" t="str">
        <f>IF(Materials!B70="","",Materials!B70)</f>
        <v>Twine Lg Sq</v>
      </c>
      <c r="D176" s="1"/>
    </row>
    <row r="177" spans="2:4">
      <c r="B177" s="1" t="str">
        <f>IF(Operations!A71="","",Operations!A71)</f>
        <v/>
      </c>
      <c r="C177" s="1" t="str">
        <f>IF(Materials!B71="","",Materials!B71)</f>
        <v>Twine Sm Sq</v>
      </c>
      <c r="D177" s="1"/>
    </row>
    <row r="178" spans="2:4">
      <c r="B178" s="1" t="str">
        <f>IF(Operations!A72="","",Operations!A72)</f>
        <v/>
      </c>
      <c r="C178" s="1" t="str">
        <f>IF(Materials!B72="","",Materials!B72)</f>
        <v>Water Charge</v>
      </c>
      <c r="D178" s="1"/>
    </row>
    <row r="179" spans="2:4">
      <c r="B179" s="1" t="str">
        <f>IF(Operations!A73="","",Operations!A73)</f>
        <v/>
      </c>
      <c r="C179" s="1" t="str">
        <f>IF(Materials!B73="","",Materials!B73)</f>
        <v>Grass Drill</v>
      </c>
      <c r="D179" s="1"/>
    </row>
    <row r="180" spans="2:4">
      <c r="B180" s="1" t="str">
        <f>IF(Operations!A74="","",Operations!A74)</f>
        <v/>
      </c>
      <c r="C180" s="1" t="str">
        <f>IF(Materials!B74="","",Materials!B74)</f>
        <v>Seeder-Packer</v>
      </c>
      <c r="D180" s="1"/>
    </row>
    <row r="181" spans="2:4">
      <c r="B181" s="1" t="str">
        <f>IF(Operations!A75="","",Operations!A75)</f>
        <v/>
      </c>
      <c r="C181" s="1" t="str">
        <f>IF(Materials!B75="","",Materials!B75)</f>
        <v>Scouting Drybeans</v>
      </c>
      <c r="D181" s="1"/>
    </row>
    <row r="182" spans="2:4">
      <c r="B182" s="1" t="str">
        <f>IF(Operations!A76="","",Operations!A76)</f>
        <v/>
      </c>
      <c r="C182" s="1" t="str">
        <f>IF(Materials!B76="","",Materials!B76)</f>
        <v>Scouting Grain Sorghum</v>
      </c>
      <c r="D182" s="1"/>
    </row>
    <row r="183" spans="2:4">
      <c r="B183" s="1" t="str">
        <f>IF(Operations!A77="","",Operations!A77)</f>
        <v/>
      </c>
      <c r="C183" s="1" t="str">
        <f>IF(Materials!B77="","",Materials!B77)</f>
        <v>Scouting Irrigated Corn</v>
      </c>
      <c r="D183" s="1"/>
    </row>
    <row r="184" spans="2:4">
      <c r="B184" s="1" t="str">
        <f>IF(Operations!A78="","",Operations!A78)</f>
        <v/>
      </c>
      <c r="C184" s="1" t="str">
        <f>IF(Materials!B78="","",Materials!B78)</f>
        <v>Scouting Irrigated SB</v>
      </c>
      <c r="D184" s="1"/>
    </row>
    <row r="185" spans="2:4">
      <c r="B185" s="1" t="str">
        <f>IF(Operations!A79="","",Operations!A79)</f>
        <v/>
      </c>
      <c r="C185" s="1" t="str">
        <f>IF(Materials!B79="","",Materials!B79)</f>
        <v>Scouting Dryland Corn</v>
      </c>
      <c r="D185" s="1"/>
    </row>
    <row r="186" spans="2:4">
      <c r="B186" s="1" t="str">
        <f>IF(Operations!A80="","",Operations!A80)</f>
        <v/>
      </c>
      <c r="C186" s="1" t="str">
        <f>IF(Materials!B80="","",Materials!B80)</f>
        <v>Scouting Dryland Soybeans</v>
      </c>
      <c r="D186" s="1"/>
    </row>
    <row r="187" spans="2:4">
      <c r="B187" s="1" t="str">
        <f>IF(Operations!A81="","",Operations!A81)</f>
        <v/>
      </c>
      <c r="C187" s="1" t="str">
        <f>IF(Materials!B81="","",Materials!B81)</f>
        <v>Scouting Sugar Beets</v>
      </c>
      <c r="D187" s="1"/>
    </row>
    <row r="188" spans="2:4">
      <c r="B188" s="1" t="str">
        <f>IF(Operations!A82="","",Operations!A82)</f>
        <v/>
      </c>
      <c r="C188" s="1" t="str">
        <f>IF(Materials!B82="","",Materials!B82)</f>
        <v>Scouting Wheat</v>
      </c>
      <c r="D188" s="1"/>
    </row>
    <row r="189" spans="2:4">
      <c r="B189" s="1" t="str">
        <f>IF(Operations!A83="","",Operations!A83)</f>
        <v/>
      </c>
      <c r="C189" s="1" t="str">
        <f>IF(Materials!B83="","",Materials!B83)</f>
        <v>Alfalfa w/Inoculant</v>
      </c>
      <c r="D189" s="1"/>
    </row>
    <row r="190" spans="2:4">
      <c r="B190" s="1" t="str">
        <f>IF(Operations!A84="","",Operations!A84)</f>
        <v/>
      </c>
      <c r="C190" s="1" t="str">
        <f>IF(Materials!B84="","",Materials!B84)</f>
        <v>Corn</v>
      </c>
      <c r="D190" s="1"/>
    </row>
    <row r="191" spans="2:4">
      <c r="B191" s="1" t="str">
        <f>IF(Operations!A85="","",Operations!A85)</f>
        <v/>
      </c>
      <c r="C191" s="1" t="str">
        <f>IF(Materials!B85="","",Materials!B85)</f>
        <v>Corn Bt ECB</v>
      </c>
      <c r="D191" s="1"/>
    </row>
    <row r="192" spans="2:4">
      <c r="B192" s="1" t="str">
        <f>IF(Operations!A86="","",Operations!A86)</f>
        <v/>
      </c>
      <c r="C192" s="1" t="str">
        <f>IF(Materials!B86="","",Materials!B86)</f>
        <v>Corn Bt ECB&amp;RW</v>
      </c>
      <c r="D192" s="1"/>
    </row>
    <row r="193" spans="2:4">
      <c r="B193" s="1" t="str">
        <f>IF(Operations!A87="","",Operations!A87)</f>
        <v/>
      </c>
      <c r="C193" s="1" t="str">
        <f>IF(Materials!B87="","",Materials!B87)</f>
        <v>Corn SmartStax</v>
      </c>
      <c r="D193" s="1"/>
    </row>
    <row r="194" spans="2:4">
      <c r="B194" s="1" t="str">
        <f>IF(Operations!A88="","",Operations!A88)</f>
        <v/>
      </c>
      <c r="C194" s="1" t="str">
        <f>IF(Materials!B88="","",Materials!B88)</f>
        <v>Edible Beans</v>
      </c>
      <c r="D194" s="1"/>
    </row>
    <row r="195" spans="2:4">
      <c r="B195" s="1" t="str">
        <f>IF(Operations!A89="","",Operations!A89)</f>
        <v/>
      </c>
      <c r="C195" s="1" t="str">
        <f>IF(Materials!B89="","",Materials!B89)</f>
        <v>Grass Seed</v>
      </c>
      <c r="D195" s="1"/>
    </row>
    <row r="196" spans="2:4">
      <c r="B196" s="1" t="str">
        <f>IF(Operations!A90="","",Operations!A90)</f>
        <v/>
      </c>
      <c r="C196" s="1" t="str">
        <f>IF(Materials!B90="","",Materials!B90)</f>
        <v>Millet</v>
      </c>
      <c r="D196" s="1"/>
    </row>
    <row r="197" spans="2:4">
      <c r="B197" s="1" t="str">
        <f>IF(Operations!A91="","",Operations!A91)</f>
        <v/>
      </c>
      <c r="C197" s="1" t="str">
        <f>IF(Materials!B91="","",Materials!B91)</f>
        <v>Oats</v>
      </c>
      <c r="D197" s="1"/>
    </row>
    <row r="198" spans="2:4">
      <c r="B198" s="1" t="str">
        <f>IF(Operations!A92="","",Operations!A92)</f>
        <v/>
      </c>
      <c r="C198" s="1" t="str">
        <f>IF(Materials!B92="","",Materials!B92)</f>
        <v>RR Soybeans</v>
      </c>
      <c r="D198" s="1"/>
    </row>
    <row r="199" spans="2:4">
      <c r="B199" s="1" t="str">
        <f>IF(Operations!A93="","",Operations!A93)</f>
        <v/>
      </c>
      <c r="C199" s="1" t="str">
        <f>IF(Materials!B93="","",Materials!B93)</f>
        <v>Sorghum Safened/Insect</v>
      </c>
      <c r="D199" s="1"/>
    </row>
    <row r="200" spans="2:4">
      <c r="B200" s="1" t="str">
        <f>IF(Operations!A94="","",Operations!A94)</f>
        <v/>
      </c>
      <c r="C200" s="1" t="str">
        <f>IF(Materials!B94="","",Materials!B94)</f>
        <v>Sorghum Sudan</v>
      </c>
      <c r="D200" s="1"/>
    </row>
    <row r="201" spans="2:4">
      <c r="B201" s="1" t="str">
        <f>IF(Operations!A95="","",Operations!A95)</f>
        <v/>
      </c>
      <c r="C201" s="1" t="str">
        <f>IF(Materials!B95="","",Materials!B95)</f>
        <v>Sugar Beets RR Poncho</v>
      </c>
      <c r="D201" s="1"/>
    </row>
    <row r="202" spans="2:4">
      <c r="B202" s="1" t="str">
        <f>IF(Operations!A96="","",Operations!A96)</f>
        <v/>
      </c>
      <c r="C202" s="1" t="str">
        <f>IF(Materials!B96="","",Materials!B96)</f>
        <v>Sunflower</v>
      </c>
      <c r="D202" s="1"/>
    </row>
    <row r="203" spans="2:4">
      <c r="B203" s="1" t="str">
        <f>IF(Operations!A97="","",Operations!A97)</f>
        <v/>
      </c>
      <c r="C203" s="1" t="str">
        <f>IF(Materials!B97="","",Materials!B97)</f>
        <v>Wheat</v>
      </c>
      <c r="D203" s="1"/>
    </row>
    <row r="204" spans="2:4">
      <c r="B204" s="1" t="str">
        <f>IF(Operations!A98="","",Operations!A98)</f>
        <v/>
      </c>
      <c r="C204" s="1" t="str">
        <f>IF(Materials!B98="","",Materials!B98)</f>
        <v>Headline</v>
      </c>
      <c r="D204" s="1"/>
    </row>
    <row r="205" spans="2:4">
      <c r="B205" s="1" t="str">
        <f>IF(Operations!A99="","",Operations!A99)</f>
        <v/>
      </c>
      <c r="C205" s="1" t="str">
        <f>IF(Materials!B99="","",Materials!B99)</f>
        <v/>
      </c>
      <c r="D205" s="1"/>
    </row>
    <row r="206" spans="2:4">
      <c r="B206" s="1" t="str">
        <f>IF(Operations!A100="","",Operations!A100)</f>
        <v/>
      </c>
      <c r="C206" s="1" t="str">
        <f>IF(Materials!B100="","",Materials!B100)</f>
        <v/>
      </c>
      <c r="D206" s="1"/>
    </row>
    <row r="207" spans="2:4">
      <c r="B207" s="1"/>
      <c r="C207" s="1" t="str">
        <f>IF(Materials!B101="","",Materials!B101)</f>
        <v/>
      </c>
      <c r="D207" s="1"/>
    </row>
    <row r="208" spans="2:4">
      <c r="C208" s="1" t="str">
        <f>IF(Materials!B102="","",Materials!B102)</f>
        <v/>
      </c>
      <c r="D208" s="1"/>
    </row>
    <row r="209" spans="3:4">
      <c r="C209" s="1" t="str">
        <f>IF(Materials!B103="","",Materials!B103)</f>
        <v/>
      </c>
      <c r="D209" s="1"/>
    </row>
    <row r="210" spans="3:4">
      <c r="C210" s="1" t="str">
        <f>IF(Materials!B104="","",Materials!B104)</f>
        <v/>
      </c>
      <c r="D210" s="1"/>
    </row>
    <row r="211" spans="3:4">
      <c r="C211" s="1" t="str">
        <f>IF(Materials!B105="","",Materials!B105)</f>
        <v/>
      </c>
      <c r="D211" s="1"/>
    </row>
    <row r="212" spans="3:4">
      <c r="C212" s="1" t="str">
        <f>IF(Materials!B106="","",Materials!B106)</f>
        <v/>
      </c>
      <c r="D212" s="1"/>
    </row>
    <row r="213" spans="3:4">
      <c r="C213" s="1" t="str">
        <f>IF(Materials!B107="","",Materials!B107)</f>
        <v/>
      </c>
      <c r="D213" s="1"/>
    </row>
    <row r="214" spans="3:4">
      <c r="C214" s="1" t="str">
        <f>IF(Materials!B108="","",Materials!B108)</f>
        <v/>
      </c>
      <c r="D214" s="1"/>
    </row>
    <row r="215" spans="3:4">
      <c r="C215" s="1" t="str">
        <f>IF(Materials!B109="","",Materials!B109)</f>
        <v/>
      </c>
      <c r="D215" s="1"/>
    </row>
    <row r="216" spans="3:4">
      <c r="C216" s="1" t="str">
        <f>IF(Materials!B110="","",Materials!B110)</f>
        <v/>
      </c>
      <c r="D216" s="1"/>
    </row>
    <row r="217" spans="3:4">
      <c r="C217" s="1" t="str">
        <f>IF(Materials!B111="","",Materials!B111)</f>
        <v/>
      </c>
      <c r="D217" s="1"/>
    </row>
    <row r="218" spans="3:4">
      <c r="C218" s="1" t="str">
        <f>IF(Materials!B112="","",Materials!B112)</f>
        <v/>
      </c>
      <c r="D218" s="1"/>
    </row>
    <row r="219" spans="3:4">
      <c r="C219" s="1" t="str">
        <f>IF(Materials!B113="","",Materials!B113)</f>
        <v/>
      </c>
      <c r="D219" s="1"/>
    </row>
    <row r="220" spans="3:4">
      <c r="C220" s="1" t="str">
        <f>IF(Materials!B114="","",Materials!B114)</f>
        <v/>
      </c>
      <c r="D220" s="1"/>
    </row>
    <row r="221" spans="3:4">
      <c r="C221" s="1" t="str">
        <f>IF(Materials!B115="","",Materials!B115)</f>
        <v/>
      </c>
      <c r="D221" s="1"/>
    </row>
    <row r="222" spans="3:4">
      <c r="C222" s="1" t="str">
        <f>IF(Materials!B116="","",Materials!B116)</f>
        <v/>
      </c>
      <c r="D222" s="1"/>
    </row>
    <row r="223" spans="3:4">
      <c r="C223" s="1" t="str">
        <f>IF(Materials!B117="","",Materials!B117)</f>
        <v/>
      </c>
      <c r="D223" s="1"/>
    </row>
    <row r="224" spans="3:4">
      <c r="C224" s="1" t="str">
        <f>IF(Materials!B119="","",Materials!B119)</f>
        <v/>
      </c>
      <c r="D224" s="1"/>
    </row>
    <row r="225" spans="3:4">
      <c r="C225" s="1" t="str">
        <f>IF(Materials!B120="","",Materials!B120)</f>
        <v/>
      </c>
      <c r="D225" s="1"/>
    </row>
    <row r="226" spans="3:4">
      <c r="C226" s="1" t="str">
        <f>IF(Materials!B121="","",Materials!B121)</f>
        <v/>
      </c>
      <c r="D226" s="1"/>
    </row>
  </sheetData>
  <mergeCells count="43">
    <mergeCell ref="C58:E58"/>
    <mergeCell ref="B8:B9"/>
    <mergeCell ref="C8:C9"/>
    <mergeCell ref="E8:E9"/>
    <mergeCell ref="F8:F9"/>
    <mergeCell ref="C46:E46"/>
    <mergeCell ref="C41:E41"/>
    <mergeCell ref="C42:E42"/>
    <mergeCell ref="C43:E43"/>
    <mergeCell ref="C44:E44"/>
    <mergeCell ref="C45:E45"/>
    <mergeCell ref="C57:E57"/>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s>
  <dataValidations count="5">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Title</vt:lpstr>
      <vt:lpstr>General Variables</vt:lpstr>
      <vt:lpstr>Power Units</vt:lpstr>
      <vt:lpstr>Operations</vt:lpstr>
      <vt:lpstr>Materials</vt:lpstr>
      <vt:lpstr>31-Pasture</vt:lpstr>
      <vt:lpstr>ImpDepLookup</vt:lpstr>
      <vt:lpstr>'31-Pasture'!Print_Area</vt:lpstr>
      <vt:lpstr>Materials!Print_Area</vt:lpstr>
      <vt:lpstr>Operations!Print_Area</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2011-12-06T16:47:33Z</cp:lastPrinted>
  <dcterms:created xsi:type="dcterms:W3CDTF">2009-07-27T21:13:45Z</dcterms:created>
  <dcterms:modified xsi:type="dcterms:W3CDTF">2012-01-24T22:33:57Z</dcterms:modified>
</cp:coreProperties>
</file>