
<file path=[Content_Types].xml><?xml version="1.0" encoding="utf-8"?>
<Types xmlns="http://schemas.openxmlformats.org/package/2006/content-types">
  <Override PartName="/xl/worksheets/sheet15.xml" ContentType="application/vnd.openxmlformats-officedocument.spreadsheetml.worksheet+xml"/>
  <Default Extension="png" ContentType="image/png"/>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gif" ContentType="image/gif"/>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365" yWindow="105" windowWidth="11610" windowHeight="11640" firstSheet="1" activeTab="12"/>
  </bookViews>
  <sheets>
    <sheet name="Title" sheetId="110" r:id="rId1"/>
    <sheet name="General Variables" sheetId="49" r:id="rId2"/>
    <sheet name="Power Units" sheetId="48" r:id="rId3"/>
    <sheet name="Operations" sheetId="1" r:id="rId4"/>
    <sheet name="Materials" sheetId="2" r:id="rId5"/>
    <sheet name="28-Grass" sheetId="85" r:id="rId6"/>
    <sheet name="29-Grass Hay" sheetId="86" r:id="rId7"/>
    <sheet name="30-Oats" sheetId="87" r:id="rId8"/>
    <sheet name="31-Pasture" sheetId="88" r:id="rId9"/>
    <sheet name="32-Millet" sheetId="89" r:id="rId10"/>
    <sheet name="33-Sorghum-Sudan" sheetId="90" r:id="rId11"/>
    <sheet name="Formulas" sheetId="57" state="hidden" r:id="rId12"/>
    <sheet name="Master" sheetId="72" r:id="rId13"/>
    <sheet name="Depreciation Graph" sheetId="52" state="hidden" r:id="rId14"/>
    <sheet name="Sheet1" sheetId="111" r:id="rId15"/>
  </sheets>
  <definedNames>
    <definedName name="_xlnm._FilterDatabase" localSheetId="3" hidden="1">Operations!$A$1:$B$102</definedName>
    <definedName name="CashCost">#REF!</definedName>
    <definedName name="CashCostRange">#REF!</definedName>
    <definedName name="CashFlow">#REF!</definedName>
    <definedName name="cit">#REF!</definedName>
    <definedName name="Cost">#REF!</definedName>
    <definedName name="CostRange">#REF!</definedName>
    <definedName name="CropInsTable">#REF!</definedName>
    <definedName name="FlowRange">#REF!</definedName>
    <definedName name="ImpDepLookup">Operations!$AE$2:$AH$11</definedName>
    <definedName name="_xlnm.Print_Area" localSheetId="5">'28-Grass'!$A$1:$L$65</definedName>
    <definedName name="_xlnm.Print_Area" localSheetId="6">'29-Grass Hay'!$A$1:$L$65</definedName>
    <definedName name="_xlnm.Print_Area" localSheetId="7">'30-Oats'!$A$1:$L$65</definedName>
    <definedName name="_xlnm.Print_Area" localSheetId="8">'31-Pasture'!$A$1:$L$65</definedName>
    <definedName name="_xlnm.Print_Area" localSheetId="9">'32-Millet'!$A$1:$L$65</definedName>
    <definedName name="_xlnm.Print_Area" localSheetId="10">'33-Sorghum-Sudan'!$A$1:$L$65</definedName>
    <definedName name="_xlnm.Print_Area" localSheetId="12">Master!$A$1:$L$65</definedName>
    <definedName name="_xlnm.Print_Area" localSheetId="4">Materials!$B$1:$H$111</definedName>
    <definedName name="_xlnm.Print_Area" localSheetId="3">Operations!$A$1:$J$2</definedName>
    <definedName name="Profit">#REF!</definedName>
    <definedName name="ProfitRange">#REF!</definedName>
    <definedName name="PwrDepreciation" localSheetId="13">Table1[[Machine]:[ C3 ]]</definedName>
    <definedName name="PwrDepreciation">Table1[[Machine]:[ C3 ]]</definedName>
    <definedName name="PwrUnit">Operations!$AO$1:$AO$11</definedName>
    <definedName name="RETable">Table9[#All]</definedName>
    <definedName name="REValue">'General Variables'!$E$3:$F$9</definedName>
    <definedName name="ScoutingTable">#REF!</definedName>
  </definedNames>
  <calcPr calcId="125725" iterate="1" iterateCount="1000"/>
</workbook>
</file>

<file path=xl/calcChain.xml><?xml version="1.0" encoding="utf-8"?>
<calcChain xmlns="http://schemas.openxmlformats.org/spreadsheetml/2006/main">
  <c r="H118" i="2"/>
  <c r="F5" i="85"/>
  <c r="F5" i="86"/>
  <c r="F5" i="87"/>
  <c r="F5" i="88"/>
  <c r="F5" i="89"/>
  <c r="F5" i="90"/>
  <c r="F5" i="72"/>
  <c r="C101" i="85"/>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86"/>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87"/>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88"/>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89"/>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90"/>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72"/>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B101" i="85"/>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86"/>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87"/>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88"/>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89"/>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90"/>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72"/>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N98" i="1"/>
  <c r="P98" s="1"/>
  <c r="N99"/>
  <c r="P99" s="1"/>
  <c r="O98"/>
  <c r="O99"/>
  <c r="S98"/>
  <c r="S99"/>
  <c r="T98"/>
  <c r="T99"/>
  <c r="H38" i="87"/>
  <c r="H34" i="90"/>
  <c r="H34" i="86"/>
  <c r="G11" i="2"/>
  <c r="C7" i="88"/>
  <c r="C11" i="85"/>
  <c r="D74" i="2"/>
  <c r="G79"/>
  <c r="G78"/>
  <c r="G77"/>
  <c r="Q99" i="1" l="1"/>
  <c r="R99"/>
  <c r="U99" s="1"/>
  <c r="R98"/>
  <c r="U98" s="1"/>
  <c r="Q98"/>
  <c r="K1" i="72"/>
  <c r="E14" i="85"/>
  <c r="E14" i="86"/>
  <c r="E14" i="87"/>
  <c r="E14" i="88"/>
  <c r="E14" i="89"/>
  <c r="E14" i="90"/>
  <c r="E14" i="72"/>
  <c r="E7" i="85"/>
  <c r="E7" i="86"/>
  <c r="E7" i="87"/>
  <c r="E7" i="89"/>
  <c r="E7" i="90"/>
  <c r="E7" i="72"/>
  <c r="I2"/>
  <c r="O3"/>
  <c r="O3" i="85"/>
  <c r="O3" i="86"/>
  <c r="O3" i="87"/>
  <c r="O3" i="88"/>
  <c r="O3" i="89"/>
  <c r="O3" i="90"/>
  <c r="I2" i="85"/>
  <c r="I2" i="86"/>
  <c r="I2" i="87"/>
  <c r="I2" i="88"/>
  <c r="I2" i="89"/>
  <c r="I2" i="90"/>
  <c r="G17" i="2" l="1"/>
  <c r="H38" i="89"/>
  <c r="E12" i="87"/>
  <c r="E13"/>
  <c r="C13" i="90"/>
  <c r="E13" s="1"/>
  <c r="C12"/>
  <c r="C10" i="86"/>
  <c r="E10" s="1"/>
  <c r="C9"/>
  <c r="E12" i="85"/>
  <c r="K1" i="90"/>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K39"/>
  <c r="J39"/>
  <c r="I39"/>
  <c r="C39"/>
  <c r="K38"/>
  <c r="J38"/>
  <c r="I38"/>
  <c r="C38"/>
  <c r="K37"/>
  <c r="J37"/>
  <c r="I37"/>
  <c r="C37"/>
  <c r="K36"/>
  <c r="J36"/>
  <c r="I36"/>
  <c r="C36"/>
  <c r="K35"/>
  <c r="J35"/>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J14"/>
  <c r="I14"/>
  <c r="H14"/>
  <c r="G14"/>
  <c r="F14"/>
  <c r="E11"/>
  <c r="E10"/>
  <c r="E9"/>
  <c r="E8"/>
  <c r="E5"/>
  <c r="K1" i="89"/>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K39"/>
  <c r="J39"/>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K15" s="1"/>
  <c r="E13"/>
  <c r="E12"/>
  <c r="E11"/>
  <c r="E10"/>
  <c r="E9"/>
  <c r="E8"/>
  <c r="E5"/>
  <c r="K1" i="88"/>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K39"/>
  <c r="J39"/>
  <c r="I39"/>
  <c r="C39"/>
  <c r="K38"/>
  <c r="J38"/>
  <c r="I38"/>
  <c r="C38"/>
  <c r="K37"/>
  <c r="J37"/>
  <c r="I37"/>
  <c r="C37"/>
  <c r="K36"/>
  <c r="J36"/>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J14"/>
  <c r="I14"/>
  <c r="H14"/>
  <c r="G14"/>
  <c r="F14"/>
  <c r="J13"/>
  <c r="I13"/>
  <c r="H13"/>
  <c r="G13"/>
  <c r="F13"/>
  <c r="E13"/>
  <c r="J12"/>
  <c r="I12"/>
  <c r="H12"/>
  <c r="G12"/>
  <c r="F12"/>
  <c r="E12"/>
  <c r="J11"/>
  <c r="I11"/>
  <c r="H11"/>
  <c r="G11"/>
  <c r="F11"/>
  <c r="E11"/>
  <c r="J10"/>
  <c r="I10"/>
  <c r="H10"/>
  <c r="G10"/>
  <c r="F10"/>
  <c r="E10"/>
  <c r="J9"/>
  <c r="I9"/>
  <c r="H9"/>
  <c r="G9"/>
  <c r="F9"/>
  <c r="E9"/>
  <c r="J8"/>
  <c r="I8"/>
  <c r="H8"/>
  <c r="G8"/>
  <c r="F8"/>
  <c r="E8"/>
  <c r="E5"/>
  <c r="K1" i="87"/>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J14"/>
  <c r="I14"/>
  <c r="H14"/>
  <c r="G14"/>
  <c r="F14"/>
  <c r="J11"/>
  <c r="I11"/>
  <c r="H11"/>
  <c r="G11"/>
  <c r="F11"/>
  <c r="E11"/>
  <c r="K11" s="1"/>
  <c r="E10"/>
  <c r="E9"/>
  <c r="E8"/>
  <c r="E5"/>
  <c r="K1" i="86"/>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K39"/>
  <c r="J39"/>
  <c r="I39"/>
  <c r="C39"/>
  <c r="K38"/>
  <c r="J38"/>
  <c r="I38"/>
  <c r="C38"/>
  <c r="K37"/>
  <c r="J37"/>
  <c r="I37"/>
  <c r="C37"/>
  <c r="K36"/>
  <c r="J36"/>
  <c r="I36"/>
  <c r="C36"/>
  <c r="K35"/>
  <c r="J35"/>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J14"/>
  <c r="I14"/>
  <c r="H14"/>
  <c r="G14"/>
  <c r="F14"/>
  <c r="J13"/>
  <c r="I13"/>
  <c r="H13"/>
  <c r="G13"/>
  <c r="F13"/>
  <c r="E13"/>
  <c r="J12"/>
  <c r="I12"/>
  <c r="H12"/>
  <c r="G12"/>
  <c r="F12"/>
  <c r="E12"/>
  <c r="J11"/>
  <c r="I11"/>
  <c r="H11"/>
  <c r="G11"/>
  <c r="F11"/>
  <c r="E11"/>
  <c r="E8"/>
  <c r="E5"/>
  <c r="K1" i="85"/>
  <c r="F125"/>
  <c r="F124"/>
  <c r="F123"/>
  <c r="F122"/>
  <c r="F121"/>
  <c r="F120"/>
  <c r="F119"/>
  <c r="F118"/>
  <c r="F117"/>
  <c r="F116"/>
  <c r="F115"/>
  <c r="F114"/>
  <c r="F113"/>
  <c r="F112"/>
  <c r="F111"/>
  <c r="F110"/>
  <c r="F109"/>
  <c r="F108"/>
  <c r="F107"/>
  <c r="F106"/>
  <c r="F105"/>
  <c r="F104"/>
  <c r="F103"/>
  <c r="F102"/>
  <c r="F101"/>
  <c r="F100"/>
  <c r="C100"/>
  <c r="B100"/>
  <c r="I61"/>
  <c r="F61"/>
  <c r="I60"/>
  <c r="F60"/>
  <c r="K59"/>
  <c r="I56"/>
  <c r="H56"/>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K39"/>
  <c r="J39"/>
  <c r="I39"/>
  <c r="C39"/>
  <c r="K38"/>
  <c r="J38"/>
  <c r="I38"/>
  <c r="C38"/>
  <c r="K37"/>
  <c r="J37"/>
  <c r="I37"/>
  <c r="C37"/>
  <c r="K36"/>
  <c r="J36"/>
  <c r="I36"/>
  <c r="C36"/>
  <c r="K35"/>
  <c r="J35"/>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J14"/>
  <c r="I14"/>
  <c r="H14"/>
  <c r="G14"/>
  <c r="F14"/>
  <c r="J13"/>
  <c r="I13"/>
  <c r="H13"/>
  <c r="G13"/>
  <c r="F13"/>
  <c r="E13"/>
  <c r="E10"/>
  <c r="E9"/>
  <c r="E8"/>
  <c r="E5"/>
  <c r="E28" i="89" l="1"/>
  <c r="E28" i="87"/>
  <c r="K14" i="88"/>
  <c r="K8"/>
  <c r="K9"/>
  <c r="K10"/>
  <c r="K11"/>
  <c r="K12"/>
  <c r="K13"/>
  <c r="K15"/>
  <c r="K16"/>
  <c r="K17"/>
  <c r="E9" i="86"/>
  <c r="E28" s="1"/>
  <c r="E12" i="90"/>
  <c r="E28" s="1"/>
  <c r="K60" i="89"/>
  <c r="K61"/>
  <c r="K60" i="90"/>
  <c r="K61"/>
  <c r="K60" i="85"/>
  <c r="K61"/>
  <c r="K60" i="86"/>
  <c r="K61"/>
  <c r="K60" i="88"/>
  <c r="K61"/>
  <c r="K60" i="87"/>
  <c r="K61"/>
  <c r="K14"/>
  <c r="K15"/>
  <c r="K16"/>
  <c r="K17"/>
  <c r="K18"/>
  <c r="K19"/>
  <c r="K20"/>
  <c r="K21"/>
  <c r="K22"/>
  <c r="K23"/>
  <c r="K24"/>
  <c r="K25"/>
  <c r="K26"/>
  <c r="K16" i="89"/>
  <c r="K17"/>
  <c r="K18"/>
  <c r="K19"/>
  <c r="K20"/>
  <c r="K21"/>
  <c r="K22"/>
  <c r="K23"/>
  <c r="K24"/>
  <c r="K25"/>
  <c r="K26"/>
  <c r="K14" i="90"/>
  <c r="K15"/>
  <c r="K16"/>
  <c r="K17"/>
  <c r="K18"/>
  <c r="K19"/>
  <c r="K20"/>
  <c r="K21"/>
  <c r="K22"/>
  <c r="K23"/>
  <c r="K24"/>
  <c r="K25"/>
  <c r="K26"/>
  <c r="K13" i="85"/>
  <c r="K14"/>
  <c r="K15"/>
  <c r="K16"/>
  <c r="K17"/>
  <c r="K18"/>
  <c r="K19"/>
  <c r="K20"/>
  <c r="K21"/>
  <c r="K22"/>
  <c r="K23"/>
  <c r="K24"/>
  <c r="K25"/>
  <c r="K26"/>
  <c r="K18" i="88"/>
  <c r="K19"/>
  <c r="K20"/>
  <c r="K21"/>
  <c r="K22"/>
  <c r="K23"/>
  <c r="K24"/>
  <c r="K25"/>
  <c r="K26"/>
  <c r="K13" i="86"/>
  <c r="K14"/>
  <c r="K15"/>
  <c r="K16"/>
  <c r="K17"/>
  <c r="K18"/>
  <c r="K19"/>
  <c r="K20"/>
  <c r="K21"/>
  <c r="K22"/>
  <c r="K23"/>
  <c r="K24"/>
  <c r="K25"/>
  <c r="K26"/>
  <c r="K11"/>
  <c r="K12"/>
  <c r="F14" i="72"/>
  <c r="G14"/>
  <c r="H14"/>
  <c r="I14"/>
  <c r="J14"/>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J46"/>
  <c r="K46" s="1"/>
  <c r="I46"/>
  <c r="C46"/>
  <c r="J45"/>
  <c r="K45" s="1"/>
  <c r="I45"/>
  <c r="C45"/>
  <c r="J44"/>
  <c r="K44" s="1"/>
  <c r="I44"/>
  <c r="C44"/>
  <c r="J43"/>
  <c r="K43" s="1"/>
  <c r="I43"/>
  <c r="C43"/>
  <c r="J42"/>
  <c r="K42" s="1"/>
  <c r="I42"/>
  <c r="C42"/>
  <c r="J41"/>
  <c r="K41" s="1"/>
  <c r="I41"/>
  <c r="C41"/>
  <c r="J40"/>
  <c r="K40" s="1"/>
  <c r="I40"/>
  <c r="C40"/>
  <c r="J39"/>
  <c r="K39" s="1"/>
  <c r="I39"/>
  <c r="C39"/>
  <c r="J38"/>
  <c r="K38" s="1"/>
  <c r="I38"/>
  <c r="C38"/>
  <c r="J37"/>
  <c r="I37"/>
  <c r="K37"/>
  <c r="C37"/>
  <c r="K36"/>
  <c r="J36"/>
  <c r="I36"/>
  <c r="C36"/>
  <c r="J35"/>
  <c r="K35" s="1"/>
  <c r="I35"/>
  <c r="C35"/>
  <c r="J34"/>
  <c r="K34" s="1"/>
  <c r="I34"/>
  <c r="C34"/>
  <c r="J33"/>
  <c r="K33" s="1"/>
  <c r="I33"/>
  <c r="C33"/>
  <c r="J32"/>
  <c r="K32" s="1"/>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F19"/>
  <c r="E19"/>
  <c r="J18"/>
  <c r="I18"/>
  <c r="H18"/>
  <c r="G18"/>
  <c r="F18"/>
  <c r="E18"/>
  <c r="J17"/>
  <c r="I17"/>
  <c r="H17"/>
  <c r="G17"/>
  <c r="F17"/>
  <c r="E17"/>
  <c r="F16"/>
  <c r="E16"/>
  <c r="F15"/>
  <c r="E15"/>
  <c r="J13"/>
  <c r="I13"/>
  <c r="H13"/>
  <c r="G13"/>
  <c r="F13"/>
  <c r="E13"/>
  <c r="F12"/>
  <c r="E12"/>
  <c r="F11"/>
  <c r="E11"/>
  <c r="F10"/>
  <c r="E10"/>
  <c r="F9"/>
  <c r="E9"/>
  <c r="F8"/>
  <c r="E8"/>
  <c r="F7"/>
  <c r="E28"/>
  <c r="E5"/>
  <c r="H85" i="2"/>
  <c r="H88"/>
  <c r="H86"/>
  <c r="H89"/>
  <c r="H83"/>
  <c r="H90"/>
  <c r="H84"/>
  <c r="H91"/>
  <c r="H4"/>
  <c r="H6"/>
  <c r="H5"/>
  <c r="H7"/>
  <c r="H2"/>
  <c r="H8"/>
  <c r="H3"/>
  <c r="H9"/>
  <c r="H96"/>
  <c r="H87"/>
  <c r="H54"/>
  <c r="H32"/>
  <c r="H114"/>
  <c r="H115"/>
  <c r="H116"/>
  <c r="H117"/>
  <c r="H119"/>
  <c r="H120"/>
  <c r="H121"/>
  <c r="B5" i="49"/>
  <c r="E6" i="57"/>
  <c r="D4"/>
  <c r="D3"/>
  <c r="H40" i="2"/>
  <c r="H107"/>
  <c r="H61"/>
  <c r="H47"/>
  <c r="H28"/>
  <c r="H22"/>
  <c r="H59"/>
  <c r="H42"/>
  <c r="H64"/>
  <c r="H15"/>
  <c r="H97"/>
  <c r="H67"/>
  <c r="L3" i="52"/>
  <c r="L4" s="1"/>
  <c r="U2"/>
  <c r="T2"/>
  <c r="S2"/>
  <c r="R2"/>
  <c r="Q2"/>
  <c r="P2"/>
  <c r="O2"/>
  <c r="N2"/>
  <c r="M2"/>
  <c r="N11" i="1"/>
  <c r="P11" s="1"/>
  <c r="J43"/>
  <c r="J25"/>
  <c r="N44"/>
  <c r="N45"/>
  <c r="H44"/>
  <c r="O44" s="1"/>
  <c r="J45"/>
  <c r="J44"/>
  <c r="H45"/>
  <c r="O3"/>
  <c r="O7"/>
  <c r="O25"/>
  <c r="O28"/>
  <c r="O38"/>
  <c r="O39"/>
  <c r="H13" i="87" s="1"/>
  <c r="O40" i="1"/>
  <c r="O62"/>
  <c r="O67"/>
  <c r="O69"/>
  <c r="O2"/>
  <c r="O71"/>
  <c r="O72"/>
  <c r="O73"/>
  <c r="O74"/>
  <c r="O75"/>
  <c r="O76"/>
  <c r="O77"/>
  <c r="O78"/>
  <c r="O79"/>
  <c r="O80"/>
  <c r="O81"/>
  <c r="O82"/>
  <c r="O83"/>
  <c r="O84"/>
  <c r="O85"/>
  <c r="O86"/>
  <c r="O87"/>
  <c r="O88"/>
  <c r="O89"/>
  <c r="O90"/>
  <c r="O91"/>
  <c r="O92"/>
  <c r="O93"/>
  <c r="O94"/>
  <c r="O95"/>
  <c r="O96"/>
  <c r="O97"/>
  <c r="O100"/>
  <c r="O101"/>
  <c r="T3"/>
  <c r="T7"/>
  <c r="T28"/>
  <c r="T67"/>
  <c r="T69"/>
  <c r="T2"/>
  <c r="T71"/>
  <c r="T72"/>
  <c r="T73"/>
  <c r="T74"/>
  <c r="T75"/>
  <c r="T76"/>
  <c r="T77"/>
  <c r="T78"/>
  <c r="T79"/>
  <c r="T80"/>
  <c r="T81"/>
  <c r="T82"/>
  <c r="T83"/>
  <c r="T84"/>
  <c r="T85"/>
  <c r="T86"/>
  <c r="T87"/>
  <c r="T88"/>
  <c r="T89"/>
  <c r="T90"/>
  <c r="T91"/>
  <c r="T92"/>
  <c r="T93"/>
  <c r="T94"/>
  <c r="T95"/>
  <c r="T96"/>
  <c r="T97"/>
  <c r="T100"/>
  <c r="T101"/>
  <c r="S3"/>
  <c r="S7"/>
  <c r="S28"/>
  <c r="S67"/>
  <c r="S69"/>
  <c r="S2"/>
  <c r="S71"/>
  <c r="S72"/>
  <c r="S73"/>
  <c r="S74"/>
  <c r="S75"/>
  <c r="S76"/>
  <c r="S77"/>
  <c r="S78"/>
  <c r="S79"/>
  <c r="S80"/>
  <c r="S81"/>
  <c r="S82"/>
  <c r="S83"/>
  <c r="S84"/>
  <c r="S85"/>
  <c r="S86"/>
  <c r="S87"/>
  <c r="S88"/>
  <c r="S89"/>
  <c r="S90"/>
  <c r="S91"/>
  <c r="S92"/>
  <c r="S93"/>
  <c r="S94"/>
  <c r="S95"/>
  <c r="S96"/>
  <c r="S97"/>
  <c r="S100"/>
  <c r="S101"/>
  <c r="N4"/>
  <c r="P4" s="1"/>
  <c r="T4" s="1"/>
  <c r="N3"/>
  <c r="P3" s="1"/>
  <c r="N6"/>
  <c r="P6" s="1"/>
  <c r="N7"/>
  <c r="P7" s="1"/>
  <c r="N8"/>
  <c r="P8" s="1"/>
  <c r="N9"/>
  <c r="P9" s="1"/>
  <c r="N10"/>
  <c r="P10" s="1"/>
  <c r="N12"/>
  <c r="P12" s="1"/>
  <c r="N13"/>
  <c r="P13" s="1"/>
  <c r="N14"/>
  <c r="P14" s="1"/>
  <c r="N15"/>
  <c r="P15" s="1"/>
  <c r="N16"/>
  <c r="P16" s="1"/>
  <c r="N17"/>
  <c r="P17" s="1"/>
  <c r="N18"/>
  <c r="P18" s="1"/>
  <c r="N19"/>
  <c r="P19" s="1"/>
  <c r="N20"/>
  <c r="P20" s="1"/>
  <c r="N21"/>
  <c r="P21" s="1"/>
  <c r="N22"/>
  <c r="P22" s="1"/>
  <c r="N24"/>
  <c r="P24" s="1"/>
  <c r="N25"/>
  <c r="P25" s="1"/>
  <c r="N26"/>
  <c r="P26" s="1"/>
  <c r="N27"/>
  <c r="P27" s="1"/>
  <c r="N28"/>
  <c r="P28" s="1"/>
  <c r="N29"/>
  <c r="P29" s="1"/>
  <c r="N30"/>
  <c r="P30" s="1"/>
  <c r="N31"/>
  <c r="P31" s="1"/>
  <c r="N32"/>
  <c r="P32" s="1"/>
  <c r="N33"/>
  <c r="P33" s="1"/>
  <c r="N34"/>
  <c r="P34" s="1"/>
  <c r="N35"/>
  <c r="N36"/>
  <c r="N37"/>
  <c r="P37" s="1"/>
  <c r="N38"/>
  <c r="P38" s="1"/>
  <c r="N39"/>
  <c r="P39" s="1"/>
  <c r="N40"/>
  <c r="P40" s="1"/>
  <c r="N41"/>
  <c r="P41" s="1"/>
  <c r="N42"/>
  <c r="P42" s="1"/>
  <c r="N43"/>
  <c r="P43" s="1"/>
  <c r="N46"/>
  <c r="P46" s="1"/>
  <c r="N47"/>
  <c r="P47" s="1"/>
  <c r="N48"/>
  <c r="P48" s="1"/>
  <c r="N49"/>
  <c r="P49" s="1"/>
  <c r="N50"/>
  <c r="P50" s="1"/>
  <c r="N52"/>
  <c r="P52" s="1"/>
  <c r="N53"/>
  <c r="P53" s="1"/>
  <c r="N54"/>
  <c r="P54" s="1"/>
  <c r="N55"/>
  <c r="P55" s="1"/>
  <c r="N56"/>
  <c r="P56" s="1"/>
  <c r="N57"/>
  <c r="P57" s="1"/>
  <c r="N58"/>
  <c r="P58" s="1"/>
  <c r="N59"/>
  <c r="P59" s="1"/>
  <c r="N60"/>
  <c r="P60" s="1"/>
  <c r="N61"/>
  <c r="P61" s="1"/>
  <c r="N62"/>
  <c r="P62" s="1"/>
  <c r="N63"/>
  <c r="P63" s="1"/>
  <c r="N64"/>
  <c r="P64" s="1"/>
  <c r="N65"/>
  <c r="P65" s="1"/>
  <c r="N66"/>
  <c r="P66" s="1"/>
  <c r="N67"/>
  <c r="P67" s="1"/>
  <c r="N68"/>
  <c r="P68" s="1"/>
  <c r="N69"/>
  <c r="P69" s="1"/>
  <c r="N70"/>
  <c r="P70" s="1"/>
  <c r="N23"/>
  <c r="P23" s="1"/>
  <c r="S23" s="1"/>
  <c r="N51"/>
  <c r="P51" s="1"/>
  <c r="T51" s="1"/>
  <c r="N2"/>
  <c r="P2" s="1"/>
  <c r="N71"/>
  <c r="P71" s="1"/>
  <c r="N72"/>
  <c r="P72" s="1"/>
  <c r="N73"/>
  <c r="P73" s="1"/>
  <c r="N74"/>
  <c r="P74" s="1"/>
  <c r="N75"/>
  <c r="P75" s="1"/>
  <c r="N76"/>
  <c r="P76" s="1"/>
  <c r="N77"/>
  <c r="P77" s="1"/>
  <c r="N78"/>
  <c r="P78" s="1"/>
  <c r="N79"/>
  <c r="P79" s="1"/>
  <c r="N80"/>
  <c r="P80" s="1"/>
  <c r="N81"/>
  <c r="P81" s="1"/>
  <c r="N82"/>
  <c r="P82" s="1"/>
  <c r="N83"/>
  <c r="P83" s="1"/>
  <c r="N84"/>
  <c r="P84" s="1"/>
  <c r="N85"/>
  <c r="P85" s="1"/>
  <c r="N86"/>
  <c r="P86" s="1"/>
  <c r="N87"/>
  <c r="P87" s="1"/>
  <c r="N88"/>
  <c r="P88" s="1"/>
  <c r="N89"/>
  <c r="P89" s="1"/>
  <c r="N90"/>
  <c r="P90" s="1"/>
  <c r="N91"/>
  <c r="P91" s="1"/>
  <c r="N92"/>
  <c r="P92" s="1"/>
  <c r="N93"/>
  <c r="P93" s="1"/>
  <c r="N94"/>
  <c r="P94" s="1"/>
  <c r="N95"/>
  <c r="P95" s="1"/>
  <c r="N96"/>
  <c r="P96" s="1"/>
  <c r="N97"/>
  <c r="P97" s="1"/>
  <c r="N100"/>
  <c r="P100" s="1"/>
  <c r="N101"/>
  <c r="P101" s="1"/>
  <c r="O9" i="48"/>
  <c r="O10"/>
  <c r="O11"/>
  <c r="O12"/>
  <c r="N9"/>
  <c r="N10"/>
  <c r="N11"/>
  <c r="N12"/>
  <c r="J9"/>
  <c r="J10"/>
  <c r="J11"/>
  <c r="J12"/>
  <c r="L9"/>
  <c r="L10"/>
  <c r="L11"/>
  <c r="L12"/>
  <c r="K9"/>
  <c r="K10"/>
  <c r="K11"/>
  <c r="K12"/>
  <c r="I2"/>
  <c r="K2" s="1"/>
  <c r="N2" s="1"/>
  <c r="I3"/>
  <c r="L3" s="1"/>
  <c r="I4"/>
  <c r="L4" s="1"/>
  <c r="I5"/>
  <c r="L5" s="1"/>
  <c r="I6"/>
  <c r="L6" s="1"/>
  <c r="I7"/>
  <c r="J7" s="1"/>
  <c r="I8"/>
  <c r="L8" s="1"/>
  <c r="I9"/>
  <c r="I10"/>
  <c r="I11"/>
  <c r="I12"/>
  <c r="F28" i="72" l="1"/>
  <c r="E7" i="88"/>
  <c r="E28" s="1"/>
  <c r="E11" i="85"/>
  <c r="E28" s="1"/>
  <c r="K60" i="72"/>
  <c r="K61"/>
  <c r="F13" i="90"/>
  <c r="F9" i="86"/>
  <c r="F12" i="87"/>
  <c r="F13"/>
  <c r="F13" i="89"/>
  <c r="F12"/>
  <c r="F11"/>
  <c r="F10"/>
  <c r="F9"/>
  <c r="F8"/>
  <c r="F7"/>
  <c r="F7" i="88"/>
  <c r="F28" s="1"/>
  <c r="F10" i="85"/>
  <c r="F9"/>
  <c r="F8"/>
  <c r="F7"/>
  <c r="F11"/>
  <c r="F12"/>
  <c r="F11" i="90"/>
  <c r="F10"/>
  <c r="F9"/>
  <c r="F8"/>
  <c r="F7"/>
  <c r="F14" i="89"/>
  <c r="F10" i="87"/>
  <c r="F9"/>
  <c r="F8"/>
  <c r="F7"/>
  <c r="F8" i="86"/>
  <c r="F7"/>
  <c r="E3" i="57"/>
  <c r="E4"/>
  <c r="E7"/>
  <c r="F10" i="86"/>
  <c r="F12" i="90"/>
  <c r="H13"/>
  <c r="H10" i="86"/>
  <c r="H11" i="85"/>
  <c r="K53" i="72"/>
  <c r="P45" i="1"/>
  <c r="H7" i="88"/>
  <c r="H28" s="1"/>
  <c r="K13" i="72"/>
  <c r="K17"/>
  <c r="K18"/>
  <c r="K14"/>
  <c r="K20"/>
  <c r="K21"/>
  <c r="K22"/>
  <c r="K23"/>
  <c r="K24"/>
  <c r="K25"/>
  <c r="K26"/>
  <c r="D5" i="57"/>
  <c r="J5" s="1"/>
  <c r="P44" i="1"/>
  <c r="D6" i="57"/>
  <c r="D7"/>
  <c r="S51" i="1"/>
  <c r="O51"/>
  <c r="T23"/>
  <c r="O23"/>
  <c r="F6" i="57"/>
  <c r="O45" i="1"/>
  <c r="G7" i="57"/>
  <c r="L7" i="48"/>
  <c r="L5" i="52"/>
  <c r="T4"/>
  <c r="R4"/>
  <c r="P4"/>
  <c r="N4"/>
  <c r="U4"/>
  <c r="S4"/>
  <c r="Q4"/>
  <c r="O4"/>
  <c r="M4"/>
  <c r="K7" i="48"/>
  <c r="O7" s="1"/>
  <c r="M3" i="52"/>
  <c r="O3"/>
  <c r="Q3"/>
  <c r="S3"/>
  <c r="U3"/>
  <c r="N3"/>
  <c r="P3"/>
  <c r="R3"/>
  <c r="T3"/>
  <c r="O13" i="1"/>
  <c r="O43"/>
  <c r="J8" i="48"/>
  <c r="K8"/>
  <c r="N7"/>
  <c r="O2"/>
  <c r="J4"/>
  <c r="Q101" i="1"/>
  <c r="Q97"/>
  <c r="Q95"/>
  <c r="Q93"/>
  <c r="Q91"/>
  <c r="Q89"/>
  <c r="Q87"/>
  <c r="Q85"/>
  <c r="Q83"/>
  <c r="Q81"/>
  <c r="Q79"/>
  <c r="Q77"/>
  <c r="Q75"/>
  <c r="Q73"/>
  <c r="Q71"/>
  <c r="Q51"/>
  <c r="R51" s="1"/>
  <c r="U51" s="1"/>
  <c r="Q70"/>
  <c r="Q68"/>
  <c r="Q66"/>
  <c r="Q64"/>
  <c r="Q62"/>
  <c r="Q60"/>
  <c r="Q58"/>
  <c r="Q56"/>
  <c r="Q54"/>
  <c r="Q52"/>
  <c r="Q49"/>
  <c r="Q47"/>
  <c r="Q45"/>
  <c r="Q42"/>
  <c r="Q40"/>
  <c r="R40" s="1"/>
  <c r="Q38"/>
  <c r="R38" s="1"/>
  <c r="Q34"/>
  <c r="Q32"/>
  <c r="Q30"/>
  <c r="Q28"/>
  <c r="Q26"/>
  <c r="Q24"/>
  <c r="Q21"/>
  <c r="Q19"/>
  <c r="Q17"/>
  <c r="Q15"/>
  <c r="Q13"/>
  <c r="Q11"/>
  <c r="Q9"/>
  <c r="Q7"/>
  <c r="Q3"/>
  <c r="Q100"/>
  <c r="Q96"/>
  <c r="Q94"/>
  <c r="Q92"/>
  <c r="Q90"/>
  <c r="Q88"/>
  <c r="Q86"/>
  <c r="Q84"/>
  <c r="Q82"/>
  <c r="Q80"/>
  <c r="Q78"/>
  <c r="Q76"/>
  <c r="Q74"/>
  <c r="Q72"/>
  <c r="Q2"/>
  <c r="Q23"/>
  <c r="R23" s="1"/>
  <c r="U23" s="1"/>
  <c r="Q69"/>
  <c r="Q67"/>
  <c r="Q65"/>
  <c r="Q63"/>
  <c r="Q61"/>
  <c r="Q59"/>
  <c r="Q57"/>
  <c r="Q55"/>
  <c r="Q53"/>
  <c r="Q50"/>
  <c r="Q48"/>
  <c r="Q46"/>
  <c r="Q43"/>
  <c r="Q41"/>
  <c r="Q39"/>
  <c r="R39" s="1"/>
  <c r="Q37"/>
  <c r="Q33"/>
  <c r="Q31"/>
  <c r="Q29"/>
  <c r="Q27"/>
  <c r="Q25"/>
  <c r="Q22"/>
  <c r="Q20"/>
  <c r="Q18"/>
  <c r="Q16"/>
  <c r="Q14"/>
  <c r="Q12"/>
  <c r="Q10"/>
  <c r="Q8"/>
  <c r="Q6"/>
  <c r="Q4"/>
  <c r="Q44"/>
  <c r="R44" s="1"/>
  <c r="O65"/>
  <c r="O63"/>
  <c r="O61"/>
  <c r="O59"/>
  <c r="O57"/>
  <c r="O55"/>
  <c r="O53"/>
  <c r="H9" i="85" s="1"/>
  <c r="O50" i="1"/>
  <c r="O48"/>
  <c r="O46"/>
  <c r="O42"/>
  <c r="O34"/>
  <c r="O32"/>
  <c r="O30"/>
  <c r="O26"/>
  <c r="O24"/>
  <c r="O21"/>
  <c r="O19"/>
  <c r="O17"/>
  <c r="O15"/>
  <c r="O11"/>
  <c r="O9"/>
  <c r="O4"/>
  <c r="R100"/>
  <c r="U100" s="1"/>
  <c r="R96"/>
  <c r="U96" s="1"/>
  <c r="R94"/>
  <c r="U94" s="1"/>
  <c r="R92"/>
  <c r="U92" s="1"/>
  <c r="R90"/>
  <c r="U90" s="1"/>
  <c r="R88"/>
  <c r="U88" s="1"/>
  <c r="R86"/>
  <c r="U86" s="1"/>
  <c r="R84"/>
  <c r="U84" s="1"/>
  <c r="R82"/>
  <c r="U82" s="1"/>
  <c r="R80"/>
  <c r="U80" s="1"/>
  <c r="R78"/>
  <c r="U78" s="1"/>
  <c r="R76"/>
  <c r="U76" s="1"/>
  <c r="R74"/>
  <c r="U74" s="1"/>
  <c r="R72"/>
  <c r="U72" s="1"/>
  <c r="R2"/>
  <c r="U2" s="1"/>
  <c r="R69"/>
  <c r="U69" s="1"/>
  <c r="R67"/>
  <c r="U67" s="1"/>
  <c r="R53"/>
  <c r="R28"/>
  <c r="U28" s="1"/>
  <c r="R7"/>
  <c r="U7" s="1"/>
  <c r="R3"/>
  <c r="U3" s="1"/>
  <c r="S40"/>
  <c r="S38"/>
  <c r="T40"/>
  <c r="T38"/>
  <c r="O70"/>
  <c r="H13" i="89" s="1"/>
  <c r="O68" i="1"/>
  <c r="O66"/>
  <c r="O64"/>
  <c r="O60"/>
  <c r="O58"/>
  <c r="O56"/>
  <c r="O54"/>
  <c r="O52"/>
  <c r="O49"/>
  <c r="O47"/>
  <c r="O41"/>
  <c r="O37"/>
  <c r="O33"/>
  <c r="O31"/>
  <c r="H10" i="85" s="1"/>
  <c r="O29" i="1"/>
  <c r="O27"/>
  <c r="O22"/>
  <c r="O20"/>
  <c r="O18"/>
  <c r="O16"/>
  <c r="O14"/>
  <c r="O12"/>
  <c r="O10"/>
  <c r="O8"/>
  <c r="O6"/>
  <c r="R101"/>
  <c r="U101" s="1"/>
  <c r="R97"/>
  <c r="U97" s="1"/>
  <c r="R95"/>
  <c r="U95" s="1"/>
  <c r="R93"/>
  <c r="U93" s="1"/>
  <c r="R91"/>
  <c r="U91" s="1"/>
  <c r="R89"/>
  <c r="U89" s="1"/>
  <c r="R87"/>
  <c r="U87" s="1"/>
  <c r="R85"/>
  <c r="U85" s="1"/>
  <c r="R83"/>
  <c r="U83" s="1"/>
  <c r="R81"/>
  <c r="U81" s="1"/>
  <c r="R79"/>
  <c r="U79" s="1"/>
  <c r="R77"/>
  <c r="U77" s="1"/>
  <c r="R75"/>
  <c r="U75" s="1"/>
  <c r="R73"/>
  <c r="U73" s="1"/>
  <c r="R71"/>
  <c r="U71" s="1"/>
  <c r="R70"/>
  <c r="R64"/>
  <c r="R62"/>
  <c r="R52"/>
  <c r="R49"/>
  <c r="R43"/>
  <c r="R25"/>
  <c r="S62"/>
  <c r="S39"/>
  <c r="S25"/>
  <c r="T62"/>
  <c r="T39"/>
  <c r="T25"/>
  <c r="J6" i="48"/>
  <c r="J3"/>
  <c r="J5"/>
  <c r="J2"/>
  <c r="K6"/>
  <c r="M6" s="1"/>
  <c r="K4"/>
  <c r="M4" s="1"/>
  <c r="K5"/>
  <c r="M5" s="1"/>
  <c r="K3"/>
  <c r="M3" s="1"/>
  <c r="L2"/>
  <c r="M2" s="1"/>
  <c r="P2" s="1"/>
  <c r="H36" i="1"/>
  <c r="O36" s="1"/>
  <c r="H35"/>
  <c r="O35" s="1"/>
  <c r="H5"/>
  <c r="H41" i="2"/>
  <c r="H52"/>
  <c r="H18"/>
  <c r="J38" i="89" s="1"/>
  <c r="K38" s="1"/>
  <c r="H19" i="2"/>
  <c r="H98"/>
  <c r="H103"/>
  <c r="H111"/>
  <c r="H112"/>
  <c r="AO2" i="1"/>
  <c r="AO3"/>
  <c r="AO4"/>
  <c r="AO5"/>
  <c r="AO6"/>
  <c r="AO7"/>
  <c r="AO8"/>
  <c r="AO10"/>
  <c r="AO11"/>
  <c r="AO9"/>
  <c r="M8" i="48"/>
  <c r="M9"/>
  <c r="P9" s="1"/>
  <c r="M10"/>
  <c r="P10" s="1"/>
  <c r="M11"/>
  <c r="P11" s="1"/>
  <c r="M12"/>
  <c r="P12" s="1"/>
  <c r="F28" i="87" l="1"/>
  <c r="F28" i="90"/>
  <c r="F28" i="85"/>
  <c r="F28" i="86"/>
  <c r="F28" i="89"/>
  <c r="H12" i="87"/>
  <c r="H12" i="90"/>
  <c r="H9" i="86"/>
  <c r="G12" i="90"/>
  <c r="G9" i="86"/>
  <c r="G12" i="85"/>
  <c r="G12" i="87"/>
  <c r="G13" i="90"/>
  <c r="G10" i="86"/>
  <c r="G13" i="87"/>
  <c r="I12" i="90"/>
  <c r="I9" i="86"/>
  <c r="I12" i="85"/>
  <c r="I12" i="87"/>
  <c r="I13" i="90"/>
  <c r="I10" i="86"/>
  <c r="G11" i="90"/>
  <c r="G11" i="85"/>
  <c r="H12"/>
  <c r="H9" i="89"/>
  <c r="H8"/>
  <c r="G14"/>
  <c r="H9" i="90"/>
  <c r="G10"/>
  <c r="I10"/>
  <c r="H11" i="89"/>
  <c r="H10" i="90"/>
  <c r="G9"/>
  <c r="G8"/>
  <c r="G7"/>
  <c r="H8" i="86"/>
  <c r="H11" i="90"/>
  <c r="H7" i="85"/>
  <c r="H7" i="90"/>
  <c r="H10" i="89"/>
  <c r="H8" i="90"/>
  <c r="G12" i="89"/>
  <c r="G11"/>
  <c r="G7"/>
  <c r="I12"/>
  <c r="I11"/>
  <c r="I7"/>
  <c r="G8" i="86"/>
  <c r="G13" i="89"/>
  <c r="H9" i="87"/>
  <c r="H12" i="89"/>
  <c r="H7"/>
  <c r="G10"/>
  <c r="G9"/>
  <c r="G8"/>
  <c r="H10" i="87"/>
  <c r="H14" i="89"/>
  <c r="G7" i="88"/>
  <c r="G10" i="87"/>
  <c r="I9"/>
  <c r="G9"/>
  <c r="G8"/>
  <c r="G7"/>
  <c r="H8"/>
  <c r="H7"/>
  <c r="G7" i="86"/>
  <c r="I7"/>
  <c r="H7"/>
  <c r="H28" s="1"/>
  <c r="G10" i="85"/>
  <c r="G9"/>
  <c r="G8"/>
  <c r="G7"/>
  <c r="H8"/>
  <c r="I10"/>
  <c r="I9"/>
  <c r="H19" i="72"/>
  <c r="H8"/>
  <c r="H15"/>
  <c r="H7"/>
  <c r="G15"/>
  <c r="I16"/>
  <c r="I12"/>
  <c r="I11"/>
  <c r="I7"/>
  <c r="G16"/>
  <c r="G12"/>
  <c r="G11"/>
  <c r="G7"/>
  <c r="G10"/>
  <c r="G8"/>
  <c r="G19"/>
  <c r="G9"/>
  <c r="H11"/>
  <c r="H12"/>
  <c r="H10"/>
  <c r="H9"/>
  <c r="G6" i="57"/>
  <c r="F4"/>
  <c r="F3"/>
  <c r="F7"/>
  <c r="M7" i="48"/>
  <c r="P7" s="1"/>
  <c r="L6" i="52"/>
  <c r="T5"/>
  <c r="R5"/>
  <c r="P5"/>
  <c r="N5"/>
  <c r="U5"/>
  <c r="S5"/>
  <c r="Q5"/>
  <c r="O5"/>
  <c r="M5"/>
  <c r="Q35" i="1"/>
  <c r="Q36"/>
  <c r="P35"/>
  <c r="R35" s="1"/>
  <c r="P36"/>
  <c r="T36" s="1"/>
  <c r="N8" i="48"/>
  <c r="O8"/>
  <c r="N3"/>
  <c r="O3"/>
  <c r="N4"/>
  <c r="O4"/>
  <c r="N5"/>
  <c r="O5"/>
  <c r="N6"/>
  <c r="O6"/>
  <c r="N5" i="1"/>
  <c r="O5" s="1"/>
  <c r="R6"/>
  <c r="T6"/>
  <c r="S6"/>
  <c r="R8"/>
  <c r="T8"/>
  <c r="S8"/>
  <c r="R10"/>
  <c r="T10"/>
  <c r="S10"/>
  <c r="R12"/>
  <c r="T12"/>
  <c r="S12"/>
  <c r="R14"/>
  <c r="T14"/>
  <c r="S14"/>
  <c r="R16"/>
  <c r="T16"/>
  <c r="S16"/>
  <c r="R18"/>
  <c r="T18"/>
  <c r="S18"/>
  <c r="R20"/>
  <c r="T20"/>
  <c r="S20"/>
  <c r="R22"/>
  <c r="T22"/>
  <c r="S22"/>
  <c r="R27"/>
  <c r="T27"/>
  <c r="S27"/>
  <c r="R29"/>
  <c r="T29"/>
  <c r="S29"/>
  <c r="R31"/>
  <c r="T31"/>
  <c r="S31"/>
  <c r="R33"/>
  <c r="T33"/>
  <c r="S33"/>
  <c r="R37"/>
  <c r="T37"/>
  <c r="S37"/>
  <c r="R41"/>
  <c r="T41"/>
  <c r="S41"/>
  <c r="T43"/>
  <c r="S43"/>
  <c r="R45"/>
  <c r="T45"/>
  <c r="S45"/>
  <c r="R47"/>
  <c r="T47"/>
  <c r="S47"/>
  <c r="T49"/>
  <c r="S49"/>
  <c r="T52"/>
  <c r="S52"/>
  <c r="R54"/>
  <c r="T54"/>
  <c r="S54"/>
  <c r="R56"/>
  <c r="T56"/>
  <c r="S56"/>
  <c r="R58"/>
  <c r="T58"/>
  <c r="S58"/>
  <c r="R60"/>
  <c r="T60"/>
  <c r="S60"/>
  <c r="T64"/>
  <c r="S64"/>
  <c r="R66"/>
  <c r="T66"/>
  <c r="S66"/>
  <c r="R68"/>
  <c r="T68"/>
  <c r="S68"/>
  <c r="T70"/>
  <c r="S70"/>
  <c r="R46"/>
  <c r="T46"/>
  <c r="S46"/>
  <c r="R48"/>
  <c r="T48"/>
  <c r="S48"/>
  <c r="R50"/>
  <c r="T50"/>
  <c r="S50"/>
  <c r="T53"/>
  <c r="S53"/>
  <c r="R55"/>
  <c r="T55"/>
  <c r="S55"/>
  <c r="R57"/>
  <c r="T57"/>
  <c r="S57"/>
  <c r="R59"/>
  <c r="T59"/>
  <c r="S59"/>
  <c r="R61"/>
  <c r="T61"/>
  <c r="S61"/>
  <c r="R63"/>
  <c r="T63"/>
  <c r="S63"/>
  <c r="R65"/>
  <c r="T65"/>
  <c r="S65"/>
  <c r="U25"/>
  <c r="U62"/>
  <c r="U38"/>
  <c r="R4"/>
  <c r="S4"/>
  <c r="R9"/>
  <c r="T9"/>
  <c r="S9"/>
  <c r="R11"/>
  <c r="T11"/>
  <c r="S11"/>
  <c r="R13"/>
  <c r="T13"/>
  <c r="S13"/>
  <c r="R15"/>
  <c r="T15"/>
  <c r="S15"/>
  <c r="R17"/>
  <c r="T17"/>
  <c r="S17"/>
  <c r="R19"/>
  <c r="T19"/>
  <c r="S19"/>
  <c r="R21"/>
  <c r="T21"/>
  <c r="S21"/>
  <c r="R24"/>
  <c r="T24"/>
  <c r="S24"/>
  <c r="R26"/>
  <c r="T26"/>
  <c r="S26"/>
  <c r="R30"/>
  <c r="T30"/>
  <c r="S30"/>
  <c r="R32"/>
  <c r="T32"/>
  <c r="S32"/>
  <c r="R34"/>
  <c r="T34"/>
  <c r="S34"/>
  <c r="R42"/>
  <c r="T42"/>
  <c r="S42"/>
  <c r="T44"/>
  <c r="S44"/>
  <c r="U39"/>
  <c r="J13" i="87" s="1"/>
  <c r="U40" i="1"/>
  <c r="G99" i="2"/>
  <c r="H99" s="1"/>
  <c r="H29"/>
  <c r="H65"/>
  <c r="H24"/>
  <c r="H25"/>
  <c r="H35"/>
  <c r="J36" i="89" s="1"/>
  <c r="K36" s="1"/>
  <c r="H36" i="2"/>
  <c r="H26"/>
  <c r="H27"/>
  <c r="H30"/>
  <c r="H37"/>
  <c r="H10"/>
  <c r="H38"/>
  <c r="J35" i="87" s="1"/>
  <c r="K35" s="1"/>
  <c r="H92" i="2"/>
  <c r="H39"/>
  <c r="H11"/>
  <c r="H43"/>
  <c r="H66"/>
  <c r="H12"/>
  <c r="H93"/>
  <c r="H94"/>
  <c r="H95"/>
  <c r="H44"/>
  <c r="H45"/>
  <c r="J37" i="89" s="1"/>
  <c r="K37" s="1"/>
  <c r="H13" i="2"/>
  <c r="H46"/>
  <c r="H73"/>
  <c r="H74"/>
  <c r="H48"/>
  <c r="H75"/>
  <c r="H49"/>
  <c r="H50"/>
  <c r="H81"/>
  <c r="J33" i="85" s="1"/>
  <c r="K33" s="1"/>
  <c r="H100" i="2"/>
  <c r="J32" i="85" s="1"/>
  <c r="K32" s="1"/>
  <c r="H14" i="2"/>
  <c r="H16"/>
  <c r="H20"/>
  <c r="H17"/>
  <c r="H33"/>
  <c r="H51"/>
  <c r="H68"/>
  <c r="H69"/>
  <c r="H101"/>
  <c r="J35" i="89" s="1"/>
  <c r="K35" s="1"/>
  <c r="H76" i="2"/>
  <c r="J35" i="88" s="1"/>
  <c r="K35" s="1"/>
  <c r="H70" i="2"/>
  <c r="H53"/>
  <c r="H102"/>
  <c r="H55"/>
  <c r="H56"/>
  <c r="H57"/>
  <c r="H58"/>
  <c r="H71"/>
  <c r="H104"/>
  <c r="H82"/>
  <c r="H60"/>
  <c r="H105"/>
  <c r="H106"/>
  <c r="J33" i="90" s="1"/>
  <c r="K33" s="1"/>
  <c r="H62" i="2"/>
  <c r="H63"/>
  <c r="H21"/>
  <c r="H108"/>
  <c r="H109"/>
  <c r="H34"/>
  <c r="H77"/>
  <c r="H78"/>
  <c r="H79"/>
  <c r="H31"/>
  <c r="H72"/>
  <c r="H80"/>
  <c r="H110"/>
  <c r="H23"/>
  <c r="J33" i="87" l="1"/>
  <c r="K33" s="1"/>
  <c r="J32" i="89"/>
  <c r="K32" s="1"/>
  <c r="J32" i="90"/>
  <c r="K32" s="1"/>
  <c r="J34" i="89"/>
  <c r="K34" s="1"/>
  <c r="J32" i="88"/>
  <c r="K32" s="1"/>
  <c r="J32" i="87"/>
  <c r="K32" s="1"/>
  <c r="J36"/>
  <c r="K36" s="1"/>
  <c r="J34" i="85"/>
  <c r="K34" s="1"/>
  <c r="J33" i="86"/>
  <c r="K33" s="1"/>
  <c r="J34" i="87"/>
  <c r="K34" s="1"/>
  <c r="J34" i="90"/>
  <c r="K34" s="1"/>
  <c r="J34" i="86"/>
  <c r="K34" s="1"/>
  <c r="J39" i="87"/>
  <c r="K39" s="1"/>
  <c r="J37"/>
  <c r="K37" s="1"/>
  <c r="J33" i="88"/>
  <c r="K33" s="1"/>
  <c r="J34"/>
  <c r="K34" s="1"/>
  <c r="J33" i="89"/>
  <c r="K33" s="1"/>
  <c r="J32" i="86"/>
  <c r="K32" s="1"/>
  <c r="K53" i="85"/>
  <c r="J38" i="87"/>
  <c r="K38" s="1"/>
  <c r="K53" s="1"/>
  <c r="J13" i="90"/>
  <c r="K13" s="1"/>
  <c r="J10" i="86"/>
  <c r="K10" s="1"/>
  <c r="R36" i="1"/>
  <c r="G28" i="90"/>
  <c r="H28"/>
  <c r="H28" i="85"/>
  <c r="H28" i="87"/>
  <c r="G28" i="89"/>
  <c r="H28"/>
  <c r="G28" i="88"/>
  <c r="G28" i="87"/>
  <c r="G28" i="86"/>
  <c r="G28" i="85"/>
  <c r="S36" i="1"/>
  <c r="U36" s="1"/>
  <c r="H16" i="72"/>
  <c r="H28" s="1"/>
  <c r="G28"/>
  <c r="T35" i="1"/>
  <c r="S35"/>
  <c r="P3" i="48"/>
  <c r="H4" i="57"/>
  <c r="H3"/>
  <c r="G4"/>
  <c r="G3"/>
  <c r="H6"/>
  <c r="P6" i="48"/>
  <c r="P5"/>
  <c r="L7" i="52"/>
  <c r="T6"/>
  <c r="R6"/>
  <c r="P6"/>
  <c r="N6"/>
  <c r="U6"/>
  <c r="S6"/>
  <c r="Q6"/>
  <c r="O6"/>
  <c r="M6"/>
  <c r="P8" i="48"/>
  <c r="P4"/>
  <c r="U53" i="1"/>
  <c r="J9" i="85" s="1"/>
  <c r="K9" s="1"/>
  <c r="U52" i="1"/>
  <c r="U44"/>
  <c r="U70"/>
  <c r="J13" i="89" s="1"/>
  <c r="U64" i="1"/>
  <c r="U49"/>
  <c r="U43"/>
  <c r="P5"/>
  <c r="Q5"/>
  <c r="U42"/>
  <c r="U34"/>
  <c r="U30"/>
  <c r="U24"/>
  <c r="U19"/>
  <c r="U15"/>
  <c r="U11"/>
  <c r="U4"/>
  <c r="U65"/>
  <c r="U61"/>
  <c r="U57"/>
  <c r="U48"/>
  <c r="U66"/>
  <c r="U60"/>
  <c r="U56"/>
  <c r="U47"/>
  <c r="U37"/>
  <c r="U33"/>
  <c r="U29"/>
  <c r="U22"/>
  <c r="U18"/>
  <c r="U14"/>
  <c r="U10"/>
  <c r="U6"/>
  <c r="U32"/>
  <c r="U26"/>
  <c r="U21"/>
  <c r="U17"/>
  <c r="U13"/>
  <c r="U9"/>
  <c r="U63"/>
  <c r="U59"/>
  <c r="U55"/>
  <c r="U50"/>
  <c r="U46"/>
  <c r="U68"/>
  <c r="U58"/>
  <c r="U54"/>
  <c r="U45"/>
  <c r="U41"/>
  <c r="U35"/>
  <c r="U31"/>
  <c r="J10" i="85" s="1"/>
  <c r="K10" s="1"/>
  <c r="U27" i="1"/>
  <c r="U20"/>
  <c r="U16"/>
  <c r="U12"/>
  <c r="U8"/>
  <c r="K53" i="86" l="1"/>
  <c r="E56" s="1"/>
  <c r="E56" i="87"/>
  <c r="K53" i="90"/>
  <c r="E56" s="1"/>
  <c r="K53" i="89"/>
  <c r="E56" s="1"/>
  <c r="K53" i="88"/>
  <c r="E56" s="1"/>
  <c r="J12" i="87"/>
  <c r="K12" s="1"/>
  <c r="J12" i="90"/>
  <c r="K12" s="1"/>
  <c r="J9" i="86"/>
  <c r="K9" s="1"/>
  <c r="I11" i="85"/>
  <c r="I13" i="87"/>
  <c r="K13" s="1"/>
  <c r="J12" i="85"/>
  <c r="K12" s="1"/>
  <c r="J11"/>
  <c r="I11" i="90"/>
  <c r="J9" i="89"/>
  <c r="J8"/>
  <c r="E56" i="85"/>
  <c r="J9" i="90"/>
  <c r="I14" i="89"/>
  <c r="J10"/>
  <c r="J8" i="90"/>
  <c r="J7" i="85"/>
  <c r="J7" i="90"/>
  <c r="I9"/>
  <c r="K9" s="1"/>
  <c r="I8"/>
  <c r="K8" s="1"/>
  <c r="I7"/>
  <c r="J11" i="89"/>
  <c r="K11" s="1"/>
  <c r="J10" i="90"/>
  <c r="K10" s="1"/>
  <c r="J8" i="86"/>
  <c r="J11" i="90"/>
  <c r="K11" s="1"/>
  <c r="I8" i="86"/>
  <c r="K8" s="1"/>
  <c r="I13" i="89"/>
  <c r="K13" s="1"/>
  <c r="J10" i="87"/>
  <c r="J14" i="89"/>
  <c r="K14" s="1"/>
  <c r="J9" i="87"/>
  <c r="K9" s="1"/>
  <c r="J12" i="89"/>
  <c r="K12" s="1"/>
  <c r="J7"/>
  <c r="I10"/>
  <c r="K10" s="1"/>
  <c r="I9"/>
  <c r="K9" s="1"/>
  <c r="I8"/>
  <c r="J7" i="88"/>
  <c r="J28" s="1"/>
  <c r="I7"/>
  <c r="J8" i="87"/>
  <c r="J7"/>
  <c r="I8"/>
  <c r="I7"/>
  <c r="K56"/>
  <c r="I10"/>
  <c r="J7" i="86"/>
  <c r="I8" i="85"/>
  <c r="I7"/>
  <c r="J8"/>
  <c r="J19" i="72"/>
  <c r="J9"/>
  <c r="J7"/>
  <c r="J15"/>
  <c r="J11"/>
  <c r="K11" s="1"/>
  <c r="J12"/>
  <c r="K12" s="1"/>
  <c r="I10"/>
  <c r="I8"/>
  <c r="I19"/>
  <c r="I9"/>
  <c r="K9" s="1"/>
  <c r="J8"/>
  <c r="J10"/>
  <c r="I15"/>
  <c r="E56"/>
  <c r="I6" i="57"/>
  <c r="J6" s="1"/>
  <c r="I7"/>
  <c r="H7"/>
  <c r="L8" i="52"/>
  <c r="T7"/>
  <c r="R7"/>
  <c r="P7"/>
  <c r="N7"/>
  <c r="U7"/>
  <c r="S7"/>
  <c r="Q7"/>
  <c r="O7"/>
  <c r="M7"/>
  <c r="R5" i="1"/>
  <c r="T5"/>
  <c r="S5"/>
  <c r="K10" i="87" l="1"/>
  <c r="J28"/>
  <c r="K56" i="85"/>
  <c r="K65" s="1"/>
  <c r="K56" i="88"/>
  <c r="K65" s="1"/>
  <c r="K56" i="86"/>
  <c r="K65" s="1"/>
  <c r="K56" i="90"/>
  <c r="K65" s="1"/>
  <c r="K65" i="87"/>
  <c r="K8"/>
  <c r="K11" i="85"/>
  <c r="I28" i="86"/>
  <c r="I28" i="90"/>
  <c r="K7"/>
  <c r="K28" s="1"/>
  <c r="K55" s="1"/>
  <c r="J28"/>
  <c r="K8" i="89"/>
  <c r="I28"/>
  <c r="K56"/>
  <c r="K65" s="1"/>
  <c r="J28"/>
  <c r="K7"/>
  <c r="I28" i="88"/>
  <c r="K7"/>
  <c r="K28" s="1"/>
  <c r="K55" s="1"/>
  <c r="K57" s="1"/>
  <c r="K62" s="1"/>
  <c r="K64" s="1"/>
  <c r="I28" i="87"/>
  <c r="K7"/>
  <c r="K28" s="1"/>
  <c r="K55" s="1"/>
  <c r="K57" s="1"/>
  <c r="K62" s="1"/>
  <c r="K64" s="1"/>
  <c r="J28" i="86"/>
  <c r="K7"/>
  <c r="K28" s="1"/>
  <c r="K55" s="1"/>
  <c r="K57" s="1"/>
  <c r="K62" s="1"/>
  <c r="K64" s="1"/>
  <c r="J28" i="85"/>
  <c r="I28"/>
  <c r="K7"/>
  <c r="K8"/>
  <c r="K15" i="72"/>
  <c r="K19"/>
  <c r="K8"/>
  <c r="I28"/>
  <c r="K7"/>
  <c r="K56"/>
  <c r="K65" s="1"/>
  <c r="K10"/>
  <c r="J7" i="57"/>
  <c r="L9" i="52"/>
  <c r="T8"/>
  <c r="R8"/>
  <c r="P8"/>
  <c r="N8"/>
  <c r="U8"/>
  <c r="S8"/>
  <c r="Q8"/>
  <c r="O8"/>
  <c r="M8"/>
  <c r="U5" i="1"/>
  <c r="K57" i="90" l="1"/>
  <c r="K62" s="1"/>
  <c r="K64" s="1"/>
  <c r="K28" i="89"/>
  <c r="K55" s="1"/>
  <c r="K57" s="1"/>
  <c r="K62" s="1"/>
  <c r="K64" s="1"/>
  <c r="K28" i="85"/>
  <c r="K55" s="1"/>
  <c r="K57" s="1"/>
  <c r="K62" s="1"/>
  <c r="J16" i="72"/>
  <c r="I4" i="57"/>
  <c r="J4" s="1"/>
  <c r="I3"/>
  <c r="J3" s="1"/>
  <c r="L10" i="52"/>
  <c r="T9"/>
  <c r="R9"/>
  <c r="P9"/>
  <c r="N9"/>
  <c r="U9"/>
  <c r="S9"/>
  <c r="Q9"/>
  <c r="O9"/>
  <c r="M9"/>
  <c r="K16" i="72" l="1"/>
  <c r="K28" s="1"/>
  <c r="K55" s="1"/>
  <c r="K57" s="1"/>
  <c r="K62" s="1"/>
  <c r="K64" s="1"/>
  <c r="J28"/>
  <c r="L11" i="52"/>
  <c r="T10"/>
  <c r="R10"/>
  <c r="P10"/>
  <c r="N10"/>
  <c r="U10"/>
  <c r="S10"/>
  <c r="Q10"/>
  <c r="O10"/>
  <c r="M10"/>
  <c r="L12" l="1"/>
  <c r="T11"/>
  <c r="R11"/>
  <c r="P11"/>
  <c r="N11"/>
  <c r="U11"/>
  <c r="S11"/>
  <c r="Q11"/>
  <c r="O11"/>
  <c r="M11"/>
  <c r="L13" l="1"/>
  <c r="T12"/>
  <c r="R12"/>
  <c r="P12"/>
  <c r="N12"/>
  <c r="U12"/>
  <c r="S12"/>
  <c r="Q12"/>
  <c r="O12"/>
  <c r="M12"/>
  <c r="L14" l="1"/>
  <c r="T13"/>
  <c r="R13"/>
  <c r="P13"/>
  <c r="N13"/>
  <c r="U13"/>
  <c r="S13"/>
  <c r="Q13"/>
  <c r="O13"/>
  <c r="M13"/>
  <c r="L15" l="1"/>
  <c r="T14"/>
  <c r="R14"/>
  <c r="P14"/>
  <c r="N14"/>
  <c r="U14"/>
  <c r="S14"/>
  <c r="Q14"/>
  <c r="O14"/>
  <c r="M14"/>
  <c r="L16" l="1"/>
  <c r="T15"/>
  <c r="R15"/>
  <c r="P15"/>
  <c r="N15"/>
  <c r="U15"/>
  <c r="S15"/>
  <c r="Q15"/>
  <c r="O15"/>
  <c r="M15"/>
  <c r="L17" l="1"/>
  <c r="T16"/>
  <c r="R16"/>
  <c r="P16"/>
  <c r="N16"/>
  <c r="U16"/>
  <c r="S16"/>
  <c r="Q16"/>
  <c r="O16"/>
  <c r="M16"/>
  <c r="L18" l="1"/>
  <c r="T17"/>
  <c r="R17"/>
  <c r="P17"/>
  <c r="N17"/>
  <c r="U17"/>
  <c r="S17"/>
  <c r="Q17"/>
  <c r="O17"/>
  <c r="M17"/>
  <c r="L19" l="1"/>
  <c r="T18"/>
  <c r="R18"/>
  <c r="P18"/>
  <c r="N18"/>
  <c r="U18"/>
  <c r="S18"/>
  <c r="Q18"/>
  <c r="O18"/>
  <c r="M18"/>
  <c r="L20" l="1"/>
  <c r="T19"/>
  <c r="R19"/>
  <c r="P19"/>
  <c r="N19"/>
  <c r="U19"/>
  <c r="S19"/>
  <c r="Q19"/>
  <c r="O19"/>
  <c r="M19"/>
  <c r="L21" l="1"/>
  <c r="T20"/>
  <c r="R20"/>
  <c r="P20"/>
  <c r="N20"/>
  <c r="U20"/>
  <c r="S20"/>
  <c r="Q20"/>
  <c r="O20"/>
  <c r="M20"/>
  <c r="T21" l="1"/>
  <c r="R21"/>
  <c r="P21"/>
  <c r="N21"/>
  <c r="U21"/>
  <c r="S21"/>
  <c r="Q21"/>
  <c r="O21"/>
  <c r="M21"/>
</calcChain>
</file>

<file path=xl/comments1.xml><?xml version="1.0" encoding="utf-8"?>
<comments xmlns="http://schemas.openxmlformats.org/spreadsheetml/2006/main">
  <authors>
    <author>Roger Wilson</author>
  </authors>
  <commentList>
    <comment ref="D4" author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8" authorId="0">
      <text>
        <r>
          <rPr>
            <b/>
            <sz val="8"/>
            <color indexed="81"/>
            <rFont val="Tahoma"/>
            <family val="2"/>
          </rPr>
          <t>Roger Wilson:</t>
        </r>
        <r>
          <rPr>
            <sz val="8"/>
            <color indexed="81"/>
            <rFont val="Tahoma"/>
            <family val="2"/>
          </rPr>
          <t xml:space="preserve">
Original $25,178
</t>
        </r>
      </text>
    </comment>
    <comment ref="E50" authorId="0">
      <text>
        <r>
          <rPr>
            <b/>
            <sz val="8"/>
            <color indexed="81"/>
            <rFont val="Tahoma"/>
            <family val="2"/>
          </rPr>
          <t>Roger Wilson:</t>
        </r>
        <r>
          <rPr>
            <sz val="8"/>
            <color indexed="81"/>
            <rFont val="Tahoma"/>
            <family val="2"/>
          </rPr>
          <t xml:space="preserve">
Original $101,955
</t>
        </r>
      </text>
    </comment>
    <comment ref="E57" author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<sst xmlns="http://schemas.openxmlformats.org/spreadsheetml/2006/main" count="1572" uniqueCount="544">
  <si>
    <t>Op Name</t>
  </si>
  <si>
    <t>Times or Qty</t>
  </si>
  <si>
    <t>Total</t>
  </si>
  <si>
    <t>Custom</t>
  </si>
  <si>
    <t>Material</t>
  </si>
  <si>
    <t>Category</t>
  </si>
  <si>
    <t>10-34-0</t>
  </si>
  <si>
    <t>Fertilizer</t>
  </si>
  <si>
    <t>10-34-0-1Z</t>
  </si>
  <si>
    <t>11-52-0</t>
  </si>
  <si>
    <t>2,4-D Amine</t>
  </si>
  <si>
    <t>Herbicide</t>
  </si>
  <si>
    <t>2,4-D Ester 4#</t>
  </si>
  <si>
    <t>21-0-0-26S</t>
  </si>
  <si>
    <t>28-0-0</t>
  </si>
  <si>
    <t>46-0-0</t>
  </si>
  <si>
    <t>82-0-0</t>
  </si>
  <si>
    <t>AAtrex 4L</t>
  </si>
  <si>
    <t>Aerial Spray</t>
  </si>
  <si>
    <t>Alfalfa w/Inoculant</t>
  </si>
  <si>
    <t>Seed</t>
  </si>
  <si>
    <t>Ally Extra</t>
  </si>
  <si>
    <t>Bale Lg Sq 1200 lb</t>
  </si>
  <si>
    <t>Bicep II Magnum</t>
  </si>
  <si>
    <t>Insecticide</t>
  </si>
  <si>
    <t>Chop, Haul, Pack</t>
  </si>
  <si>
    <t>Corn</t>
  </si>
  <si>
    <t>Corn Bt ECB</t>
  </si>
  <si>
    <t>Corn Bt ECB&amp;RW</t>
  </si>
  <si>
    <t>Crop Oil Concentrate</t>
  </si>
  <si>
    <t>Dicamba</t>
  </si>
  <si>
    <t>Dry 4 Points Removed</t>
  </si>
  <si>
    <t>Dual II Magnum</t>
  </si>
  <si>
    <t>Edible Beans</t>
  </si>
  <si>
    <t>Elec Connect Fees</t>
  </si>
  <si>
    <t>Other</t>
  </si>
  <si>
    <t>Electricity fence/water</t>
  </si>
  <si>
    <t>Expert</t>
  </si>
  <si>
    <t>Fence/water repairs</t>
  </si>
  <si>
    <t>Glyphosate w/Surf</t>
  </si>
  <si>
    <t>Gramoxone Inteon</t>
  </si>
  <si>
    <t>Grass Drill</t>
  </si>
  <si>
    <t>Rental</t>
  </si>
  <si>
    <t>Grass Seed</t>
  </si>
  <si>
    <t>Haul &amp; Apply Manure</t>
  </si>
  <si>
    <t>Haul Beets</t>
  </si>
  <si>
    <t>Haul Grain bu</t>
  </si>
  <si>
    <t>Headline</t>
  </si>
  <si>
    <t>Fungicide</t>
  </si>
  <si>
    <t>Landmaster BW</t>
  </si>
  <si>
    <t>Lorsban 15 G</t>
  </si>
  <si>
    <t>Lorsban 4 E</t>
  </si>
  <si>
    <t>Millet</t>
  </si>
  <si>
    <t>Move Cattle</t>
  </si>
  <si>
    <t>NIS</t>
  </si>
  <si>
    <t>Oats</t>
  </si>
  <si>
    <t>Peak</t>
  </si>
  <si>
    <t xml:space="preserve">Pursuit </t>
  </si>
  <si>
    <t>Pursuit Plus</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</si>
  <si>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</si>
  <si>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</si>
  <si>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</si>
  <si>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</si>
  <si>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</si>
  <si>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</si>
  <si>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</si>
  <si>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</si>
  <si>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</si>
  <si>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</si>
  <si>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</si>
  <si>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</si>
  <si>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</si>
  <si>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</si>
  <si>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</si>
  <si>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Water Charge</t>
  </si>
  <si>
    <t>Wheat</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</si>
  <si>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</si>
  <si>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</si>
  <si>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</si>
  <si>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</si>
  <si>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</si>
  <si>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</si>
  <si>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</si>
  <si>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</si>
  <si>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</si>
  <si>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</si>
  <si>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</si>
  <si>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</si>
  <si>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</si>
  <si>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</si>
  <si>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</si>
  <si>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</si>
  <si>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</si>
  <si>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</si>
  <si>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</si>
  <si>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</si>
  <si>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</si>
  <si>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</si>
  <si>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</si>
  <si>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</si>
  <si>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</si>
  <si>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</si>
  <si>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</si>
  <si>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</si>
  <si>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</si>
  <si>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</si>
  <si>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</si>
  <si>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</si>
  <si>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</si>
  <si>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</si>
  <si>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</si>
  <si>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</si>
  <si>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</si>
  <si>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</si>
  <si>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Rainfed</t>
  </si>
  <si>
    <t>Pivot 800 GPM 35 PSI</t>
  </si>
  <si>
    <t>Large Round</t>
  </si>
  <si>
    <t>Annually Planted, Large Round</t>
  </si>
  <si>
    <t>Pivot 800 GMP 35 PSI</t>
  </si>
  <si>
    <t>No-Till, 90 bu Yield Goal</t>
  </si>
  <si>
    <t>Grazing</t>
  </si>
  <si>
    <t>AUM</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</si>
  <si>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</si>
  <si>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</si>
  <si>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</si>
  <si>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</si>
  <si>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</si>
  <si>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</si>
  <si>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</si>
  <si>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</si>
  <si>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</si>
  <si>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</si>
  <si>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</si>
  <si>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</si>
  <si>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</si>
  <si>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</si>
  <si>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</si>
  <si>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</si>
  <si>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</si>
  <si>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</si>
  <si>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</si>
  <si>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</si>
  <si>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</si>
  <si>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</si>
  <si>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</si>
  <si>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</si>
  <si>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</si>
  <si>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</si>
  <si>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</si>
  <si>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</si>
  <si>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</si>
  <si>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</si>
  <si>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</si>
  <si>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</si>
  <si>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</si>
  <si>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</si>
  <si>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</si>
  <si>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</si>
  <si>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</si>
  <si>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</si>
  <si>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</si>
  <si>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</si>
  <si>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</si>
  <si>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</si>
  <si>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</si>
  <si>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</si>
  <si>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</si>
  <si>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</si>
  <si>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</si>
  <si>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</si>
  <si>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</si>
  <si>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</si>
  <si>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</si>
  <si>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</si>
  <si>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</si>
  <si>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</si>
  <si>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</si>
  <si>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</si>
  <si>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</si>
  <si>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</si>
  <si>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</si>
  <si>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</si>
  <si>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</si>
  <si>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</si>
  <si>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</si>
  <si>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</si>
  <si>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</si>
  <si>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</si>
  <si>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</si>
  <si>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</si>
  <si>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</si>
  <si>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</si>
  <si>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</si>
  <si>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</si>
  <si>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</si>
  <si>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</si>
  <si>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</si>
  <si>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</si>
  <si>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</si>
  <si>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</si>
  <si>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</si>
  <si>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</si>
  <si>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</si>
  <si>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</si>
  <si>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</si>
  <si>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</si>
  <si>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</si>
  <si>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</si>
  <si>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</si>
  <si>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</si>
  <si>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</si>
  <si>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</si>
  <si>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</si>
  <si>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</si>
  <si>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</si>
  <si>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</si>
  <si>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</si>
  <si>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</si>
  <si>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</si>
  <si>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</si>
  <si>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</si>
  <si>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</si>
  <si>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</si>
  <si>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</si>
  <si>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</si>
  <si>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</si>
  <si>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</si>
  <si>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</si>
  <si>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</si>
  <si>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</si>
  <si>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</si>
  <si>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</si>
  <si>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</si>
  <si>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</si>
  <si>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</si>
  <si>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</si>
  <si>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</si>
  <si>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</si>
  <si>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</si>
  <si>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</si>
  <si>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</si>
  <si>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</si>
  <si>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</si>
  <si>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</si>
  <si>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</si>
  <si>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</si>
  <si>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</si>
  <si>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</si>
  <si>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</si>
  <si>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</si>
  <si>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</si>
  <si>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</si>
  <si>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</si>
  <si>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</si>
  <si>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</si>
  <si>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</si>
  <si>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</si>
  <si>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</si>
  <si>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</si>
  <si>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</si>
  <si>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</si>
  <si>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</si>
  <si>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</si>
  <si>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</si>
  <si>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</si>
  <si>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</si>
  <si>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</si>
  <si>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</si>
  <si>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</si>
  <si>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</si>
  <si>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</si>
  <si>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</si>
  <si>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</si>
  <si>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</si>
  <si>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</si>
  <si>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</si>
  <si>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</si>
  <si>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</si>
  <si>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</si>
  <si>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</si>
  <si>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</si>
  <si>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</si>
  <si>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</si>
  <si>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</si>
  <si>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</si>
  <si>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</si>
  <si>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</si>
  <si>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</si>
  <si>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</si>
  <si>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175 HP Tractor</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</si>
  <si>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</si>
  <si>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</si>
  <si>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</si>
  <si>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</si>
  <si>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</si>
  <si>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</si>
  <si>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</si>
  <si>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</si>
  <si>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</si>
  <si>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</si>
  <si>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Rainfed SG</t>
  </si>
  <si>
    <t>Combine Irr SG</t>
  </si>
  <si>
    <t>Combine Rainfed Corn</t>
  </si>
  <si>
    <t>Combine Irr Corn</t>
  </si>
  <si>
    <t>Combine Rainfed SB</t>
  </si>
  <si>
    <t>Combine Irr SB</t>
  </si>
  <si>
    <t>Combine Irr Dry Beans</t>
  </si>
  <si>
    <t>Combine Rainfed Sunflowers</t>
  </si>
  <si>
    <t>Combine Irr Sunflowers</t>
  </si>
  <si>
    <t>Anhydrous Apply</t>
  </si>
  <si>
    <t>Cart</t>
  </si>
  <si>
    <t>Chisel</t>
  </si>
  <si>
    <t>Chop Silage</t>
  </si>
  <si>
    <t>Chop Stalks</t>
  </si>
  <si>
    <t>Combine dryland</t>
  </si>
  <si>
    <t>Combine Irrig</t>
  </si>
  <si>
    <t>Combine irrigated</t>
  </si>
  <si>
    <t>Disc</t>
  </si>
  <si>
    <t>Ditch Irrigation</t>
  </si>
  <si>
    <t>Double Windrows</t>
  </si>
  <si>
    <t>Drill</t>
  </si>
  <si>
    <t>Dry Grain</t>
  </si>
  <si>
    <t>Fallow Master</t>
  </si>
  <si>
    <t>Field Cultivation</t>
  </si>
  <si>
    <t>Harrow</t>
  </si>
  <si>
    <t>Hill/Ditch</t>
  </si>
  <si>
    <t>Hoe</t>
  </si>
  <si>
    <t>Lg Rd Bale</t>
  </si>
  <si>
    <t>Lg Sq Bale</t>
  </si>
  <si>
    <t>Lift Beets</t>
  </si>
  <si>
    <t>Load Lg Sq</t>
  </si>
  <si>
    <t>Move Large Bale</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</si>
  <si>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</si>
  <si>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</si>
  <si>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</si>
  <si>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</si>
  <si>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</si>
  <si>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</si>
  <si>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</si>
  <si>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</si>
  <si>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</si>
  <si>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</si>
  <si>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</si>
  <si>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</si>
  <si>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</si>
  <si>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</si>
  <si>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</si>
  <si>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</si>
  <si>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Spray liquid fertilizer</t>
  </si>
  <si>
    <t>Spread manure</t>
  </si>
  <si>
    <t>Spread, Fertilizer</t>
  </si>
  <si>
    <t>Stack Sm Sq</t>
  </si>
  <si>
    <t>Subsoil</t>
  </si>
  <si>
    <t>Swath/Cond Hay</t>
  </si>
  <si>
    <t>Till Plant Beets</t>
  </si>
  <si>
    <t>Top Beets</t>
  </si>
  <si>
    <t>Truck</t>
  </si>
  <si>
    <t>Turn Windrows</t>
  </si>
  <si>
    <t>Weed</t>
  </si>
  <si>
    <t>Windrow Grain</t>
  </si>
  <si>
    <t>Annual Use</t>
  </si>
  <si>
    <t>Windrower</t>
  </si>
  <si>
    <t xml:space="preserve">Windrower(SP) </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</si>
  <si>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</si>
  <si>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</si>
  <si>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</si>
  <si>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</si>
  <si>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</si>
  <si>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</si>
  <si>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</si>
  <si>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</si>
  <si>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</si>
  <si>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</si>
  <si>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</si>
  <si>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</si>
  <si>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</si>
  <si>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</si>
  <si>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</si>
  <si>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</si>
  <si>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</si>
  <si>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</si>
  <si>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</si>
  <si>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</si>
  <si>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</si>
  <si>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</si>
  <si>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</si>
  <si>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</si>
  <si>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Fertilizer spreader </t>
  </si>
  <si>
    <t xml:space="preserve">Mower-conditioner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</si>
  <si>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</si>
  <si>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</si>
  <si>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</si>
  <si>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</si>
  <si>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</si>
  <si>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</si>
  <si>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</si>
  <si>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</si>
  <si>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</si>
  <si>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</si>
  <si>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</si>
  <si>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</si>
  <si>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</si>
  <si>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</si>
  <si>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</si>
  <si>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</si>
  <si>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</si>
  <si>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</si>
  <si>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</si>
  <si>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</si>
  <si>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</si>
  <si>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</si>
  <si>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</si>
  <si>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</si>
  <si>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</si>
  <si>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</si>
  <si>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</si>
  <si>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</si>
  <si>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</si>
  <si>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</si>
  <si>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</si>
  <si>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</si>
  <si>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</si>
  <si>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</si>
  <si>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</si>
  <si>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</si>
  <si>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</si>
  <si>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</si>
  <si>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</si>
  <si>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</si>
  <si>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</si>
  <si>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</si>
  <si>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</si>
  <si>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</si>
  <si>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Authority First</t>
  </si>
  <si>
    <t>Lumax</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</si>
  <si>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</si>
  <si>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</si>
  <si>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</si>
  <si>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</si>
  <si>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</si>
  <si>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</si>
  <si>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</si>
  <si>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</si>
  <si>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</si>
  <si>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</si>
  <si>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</si>
  <si>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</si>
  <si>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</si>
  <si>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</si>
  <si>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Rainfed (State)</t>
  </si>
  <si>
    <t>Rainfed (Panhandle)</t>
  </si>
  <si>
    <t>Gravity (State)</t>
  </si>
  <si>
    <t>Gravity (Panhandle)</t>
  </si>
  <si>
    <t>Pivot (State)</t>
  </si>
  <si>
    <t>Pivot (Panhandle)</t>
  </si>
  <si>
    <t>Real Estate Values</t>
  </si>
  <si>
    <t>Description</t>
  </si>
  <si>
    <t>Value</t>
  </si>
  <si>
    <t>Real Estate Taxes</t>
  </si>
  <si>
    <t>Real Estate Tax Rate</t>
  </si>
  <si>
    <t>Haul Grain (Millet)</t>
  </si>
  <si>
    <t>Haul Grain (Sunflower)</t>
  </si>
  <si>
    <t>Aim EW</t>
  </si>
  <si>
    <t>Capture LFR</t>
  </si>
  <si>
    <t>Force 3G Smart Box</t>
  </si>
  <si>
    <t>Corn RR ECB&amp;RW</t>
  </si>
  <si>
    <t>Corn SmartStax</t>
  </si>
  <si>
    <t>Oats (With Alfalfa)</t>
  </si>
  <si>
    <t>Wheat (Certified)</t>
  </si>
  <si>
    <t>Haul Grain (Dry Beans)</t>
  </si>
  <si>
    <t>Soybeans RR 2 Yield</t>
  </si>
  <si>
    <r>
      <t>Wheat (</t>
    </r>
    <r>
      <rPr>
        <sz val="8"/>
        <color theme="1"/>
        <rFont val="Arial"/>
        <family val="2"/>
      </rPr>
      <t>Certified with Dividend Extreme</t>
    </r>
    <r>
      <rPr>
        <sz val="10"/>
        <color theme="1"/>
        <rFont val="Arial"/>
        <family val="2"/>
      </rPr>
      <t>)</t>
    </r>
  </si>
  <si>
    <t>Total Cost per Acre Including Overhead</t>
  </si>
  <si>
    <t>Warrior II/Zeon</t>
  </si>
  <si>
    <t>Stubble Mulch Fallow, fb Wheat, 2 Crops in 3 Yr, 22 cwt yld goal</t>
  </si>
  <si>
    <r>
      <t>Prowl H</t>
    </r>
    <r>
      <rPr>
        <vertAlign val="subscript"/>
        <sz val="10"/>
        <color theme="1"/>
        <rFont val="Arial"/>
        <family val="2"/>
      </rPr>
      <t>2</t>
    </r>
    <r>
      <rPr>
        <sz val="10"/>
        <color theme="1"/>
        <rFont val="Arial"/>
        <family val="2"/>
      </rPr>
      <t>O</t>
    </r>
  </si>
  <si>
    <t>Spray (on disc)</t>
  </si>
  <si>
    <t>16 AI</t>
  </si>
  <si>
    <t>22 AI</t>
  </si>
  <si>
    <t>85 bu</t>
  </si>
  <si>
    <t>100 bu</t>
  </si>
  <si>
    <t>9 AI</t>
  </si>
  <si>
    <t>Lube Factor</t>
  </si>
  <si>
    <t>Diesel &amp; Lube</t>
  </si>
  <si>
    <t>Anhy Apply (supplier)</t>
  </si>
  <si>
    <t>100 HP Tractor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</si>
  <si>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</si>
  <si>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</si>
  <si>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</si>
  <si>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</si>
  <si>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</si>
  <si>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</si>
  <si>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</si>
  <si>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</si>
  <si>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</si>
  <si>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</si>
  <si>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</si>
  <si>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</si>
  <si>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</si>
  <si>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Sonalan</t>
  </si>
  <si>
    <t>Eptam</t>
  </si>
  <si>
    <t>32-0-0</t>
  </si>
  <si>
    <t>10-10-10z</t>
  </si>
  <si>
    <t>Basagran</t>
  </si>
  <si>
    <t>Asana XL</t>
  </si>
  <si>
    <t>Haul Beans</t>
  </si>
  <si>
    <t>Cut Beans</t>
  </si>
  <si>
    <t>Rod Beans</t>
  </si>
  <si>
    <t>Rainfed (Southwest)</t>
  </si>
  <si>
    <t>Scouting Irrigated Corn</t>
  </si>
  <si>
    <t>Scouting Rainfed Corn</t>
  </si>
  <si>
    <t>Scouting Irrigated SB</t>
  </si>
  <si>
    <t>Scouting Rainfed Soybeans</t>
  </si>
  <si>
    <t>Scouting Drybeans</t>
  </si>
  <si>
    <t>Scouting Sugar Beets</t>
  </si>
  <si>
    <t>Scouting Grain Sorghum</t>
  </si>
  <si>
    <t>Scouting Wheat</t>
  </si>
  <si>
    <t>Irrigated Corn Premium</t>
  </si>
  <si>
    <t>Rainfed Corn Premium</t>
  </si>
  <si>
    <t>Irrigated Soybean Premium</t>
  </si>
  <si>
    <t>Rainfed Soybean Premium</t>
  </si>
  <si>
    <t>Drybean Premium</t>
  </si>
  <si>
    <t>Sugar Beets Premium</t>
  </si>
  <si>
    <t>Grain Sorghum Premium</t>
  </si>
  <si>
    <t>Wheat Premium</t>
  </si>
  <si>
    <t>Overhead Cost per Acre</t>
  </si>
  <si>
    <t>none</t>
  </si>
  <si>
    <t>ai</t>
  </si>
  <si>
    <t>Acre</t>
  </si>
  <si>
    <t>Raptor</t>
  </si>
  <si>
    <t>Corn RR</t>
  </si>
  <si>
    <t>Scouting Irrigated Wheat</t>
  </si>
  <si>
    <t>Outlook</t>
  </si>
  <si>
    <t>Copper</t>
  </si>
  <si>
    <t>Budget 33. Sorghum-Sudan</t>
  </si>
  <si>
    <t>Budget 32. Millet</t>
  </si>
  <si>
    <t>Budget 31. Pasture</t>
  </si>
  <si>
    <t>Budget 30. Oats</t>
  </si>
  <si>
    <t>Budget 29. Grass Hay</t>
  </si>
  <si>
    <t>Budget 28. Grass</t>
  </si>
  <si>
    <t>Mustang Max EC</t>
  </si>
  <si>
    <t>Brigade 2EC</t>
  </si>
  <si>
    <t>Index</t>
  </si>
  <si>
    <t>/ Gal.</t>
  </si>
</sst>
</file>

<file path=xl/styles.xml><?xml version="1.0" encoding="utf-8"?>
<styleSheet xmlns="http://schemas.openxmlformats.org/spreadsheetml/2006/main">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29">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8"/>
      <color theme="1"/>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vertAlign val="subscript"/>
      <sz val="10"/>
      <color theme="1"/>
      <name val="Arial"/>
      <family val="2"/>
    </font>
    <font>
      <b/>
      <sz val="12"/>
      <color rgb="FFFF0000"/>
      <name val="Arial"/>
      <family val="2"/>
    </font>
    <font>
      <b/>
      <sz val="10"/>
      <color indexed="8"/>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1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84">
    <xf numFmtId="0" fontId="0" fillId="0" borderId="0" xfId="0"/>
    <xf numFmtId="0" fontId="5" fillId="0" borderId="0" xfId="0" applyFont="1" applyFill="1"/>
    <xf numFmtId="0" fontId="2" fillId="0" borderId="0" xfId="0" applyFont="1"/>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0" xfId="0" applyNumberFormat="1"/>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0" fontId="0" fillId="0" borderId="0" xfId="0"/>
    <xf numFmtId="2" fontId="0" fillId="0" borderId="0" xfId="0" applyNumberFormat="1" applyBorder="1"/>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5" fillId="0" borderId="0" xfId="0" applyFo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4" fillId="0" borderId="0" xfId="0" applyFont="1" applyAlignment="1">
      <alignment horizontal="right"/>
    </xf>
    <xf numFmtId="0" fontId="5" fillId="0" borderId="0" xfId="0" applyFont="1" applyProtection="1">
      <protection locked="0"/>
    </xf>
    <xf numFmtId="0" fontId="5" fillId="0" borderId="0" xfId="0" applyFont="1" applyAlignment="1" applyProtection="1">
      <alignment horizontal="center"/>
      <protection locked="0"/>
    </xf>
    <xf numFmtId="2" fontId="5" fillId="0" borderId="0" xfId="0" applyNumberFormat="1" applyFont="1" applyBorder="1"/>
    <xf numFmtId="0" fontId="5" fillId="0" borderId="4" xfId="0" applyFont="1" applyBorder="1"/>
    <xf numFmtId="2" fontId="5" fillId="0" borderId="0" xfId="0" applyNumberFormat="1" applyFont="1"/>
    <xf numFmtId="0" fontId="5" fillId="0" borderId="0" xfId="0" applyFont="1" applyAlignment="1">
      <alignment horizontal="right"/>
    </xf>
    <xf numFmtId="0" fontId="25" fillId="0" borderId="0" xfId="0" applyFont="1"/>
    <xf numFmtId="10" fontId="5" fillId="0" borderId="0" xfId="0" applyNumberFormat="1" applyFont="1"/>
    <xf numFmtId="43" fontId="5" fillId="0" borderId="3" xfId="0" applyNumberFormat="1" applyFont="1" applyBorder="1"/>
    <xf numFmtId="0" fontId="5" fillId="0" borderId="0" xfId="0" applyFont="1" applyBorder="1" applyAlignment="1"/>
    <xf numFmtId="2" fontId="5" fillId="0" borderId="0" xfId="0" applyNumberFormat="1" applyFont="1" applyBorder="1" applyAlignment="1"/>
    <xf numFmtId="167" fontId="5" fillId="0" borderId="0" xfId="1" applyNumberFormat="1" applyFo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44" fontId="5" fillId="0" borderId="0" xfId="1" applyFont="1"/>
    <xf numFmtId="0" fontId="2" fillId="0" borderId="3" xfId="0" applyFont="1" applyBorder="1" applyAlignment="1">
      <alignment horizontal="center"/>
    </xf>
    <xf numFmtId="0" fontId="2" fillId="0" borderId="3" xfId="0" applyFont="1" applyBorder="1" applyAlignment="1">
      <alignment horizontal="center" wrapText="1"/>
    </xf>
    <xf numFmtId="0" fontId="0" fillId="0" borderId="0" xfId="0" applyAlignment="1">
      <alignment horizontal="center"/>
    </xf>
    <xf numFmtId="0" fontId="0" fillId="0" borderId="0" xfId="0" applyBorder="1"/>
    <xf numFmtId="0" fontId="2" fillId="0" borderId="0" xfId="0" applyFont="1" applyBorder="1"/>
    <xf numFmtId="0" fontId="0" fillId="0" borderId="3" xfId="0" applyBorder="1"/>
    <xf numFmtId="0" fontId="0" fillId="4" borderId="0" xfId="0" applyFill="1"/>
    <xf numFmtId="8" fontId="0" fillId="4" borderId="0" xfId="0" applyNumberFormat="1"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7" fillId="4" borderId="0" xfId="0" applyFont="1" applyFill="1" applyAlignment="1">
      <alignment wrapText="1"/>
    </xf>
    <xf numFmtId="0" fontId="0" fillId="0" borderId="3" xfId="0" applyBorder="1" applyAlignment="1">
      <alignment horizontal="center"/>
    </xf>
    <xf numFmtId="0" fontId="0" fillId="0" borderId="0" xfId="0" applyAlignment="1">
      <alignment horizontal="center"/>
    </xf>
    <xf numFmtId="0" fontId="2" fillId="0" borderId="0" xfId="0" applyFont="1" applyBorder="1" applyAlignment="1">
      <alignment horizontal="center" wrapText="1"/>
    </xf>
    <xf numFmtId="0" fontId="2" fillId="0" borderId="3" xfId="0" applyFont="1" applyBorder="1" applyAlignment="1">
      <alignment horizontal="center" wrapText="1"/>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applyBorder="1"/>
    <xf numFmtId="0" fontId="2" fillId="0" borderId="0" xfId="0" applyFont="1" applyFill="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43" fontId="5" fillId="0" borderId="3" xfId="0" applyNumberFormat="1" applyFont="1" applyFill="1" applyBorder="1"/>
    <xf numFmtId="0" fontId="0" fillId="0" borderId="14" xfId="0" applyFill="1" applyBorder="1"/>
    <xf numFmtId="0" fontId="5" fillId="0" borderId="0" xfId="0" applyFont="1" applyFill="1" applyBorder="1" applyAlignment="1"/>
    <xf numFmtId="0" fontId="9" fillId="0" borderId="0" xfId="0" applyFont="1" applyFill="1" applyBorder="1" applyAlignment="1"/>
    <xf numFmtId="2" fontId="5" fillId="0" borderId="0" xfId="0" applyNumberFormat="1" applyFont="1" applyFill="1" applyBorder="1" applyAlignment="1"/>
    <xf numFmtId="167" fontId="0" fillId="0" borderId="0" xfId="1" applyNumberFormat="1" applyFont="1" applyFill="1"/>
    <xf numFmtId="2" fontId="5" fillId="0" borderId="0" xfId="3" applyNumberFormat="1" applyFont="1" applyFill="1"/>
    <xf numFmtId="167" fontId="5" fillId="0" borderId="0" xfId="1" applyNumberFormat="1" applyFont="1" applyFill="1"/>
    <xf numFmtId="10" fontId="5" fillId="0" borderId="0" xfId="0" applyNumberFormat="1" applyFont="1" applyFill="1"/>
    <xf numFmtId="2" fontId="5" fillId="0" borderId="3" xfId="3" applyNumberFormat="1" applyFont="1" applyFill="1" applyBorder="1"/>
    <xf numFmtId="0" fontId="5" fillId="0" borderId="0" xfId="0" applyFont="1" applyFill="1" applyAlignment="1">
      <alignment horizontal="right"/>
    </xf>
    <xf numFmtId="0" fontId="25" fillId="0" borderId="0" xfId="0" applyFont="1" applyFill="1"/>
    <xf numFmtId="0" fontId="5" fillId="0" borderId="4" xfId="0" applyFont="1" applyFill="1" applyBorder="1"/>
    <xf numFmtId="0" fontId="2" fillId="5" borderId="0" xfId="0" applyFont="1" applyFill="1" applyBorder="1" applyProtection="1">
      <protection locked="0"/>
    </xf>
    <xf numFmtId="0" fontId="4"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4" fillId="5" borderId="0" xfId="0" applyFont="1" applyFill="1" applyBorder="1" applyAlignment="1" applyProtection="1">
      <alignment horizontal="center"/>
      <protection locked="0"/>
    </xf>
    <xf numFmtId="0" fontId="28" fillId="5" borderId="0" xfId="0" applyFont="1" applyFill="1" applyBorder="1" applyAlignment="1">
      <alignment horizontal="right"/>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0" fontId="5" fillId="5" borderId="0" xfId="0" applyFont="1" applyFill="1" applyBorder="1" applyAlignment="1" applyProtection="1">
      <protection locked="0"/>
    </xf>
    <xf numFmtId="39" fontId="5" fillId="5" borderId="0" xfId="3" applyNumberFormat="1" applyFont="1" applyFill="1" applyBorder="1" applyAlignment="1" applyProtection="1">
      <protection locked="0"/>
    </xf>
    <xf numFmtId="0" fontId="0" fillId="5" borderId="0" xfId="0" applyFill="1" applyBorder="1" applyAlignment="1" applyProtection="1">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3"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2" fillId="5" borderId="2" xfId="0" applyNumberFormat="1" applyFont="1" applyFill="1" applyBorder="1" applyAlignment="1" applyProtection="1">
      <alignment horizontal="center" vertical="top" wrapText="1"/>
      <protection locked="0"/>
    </xf>
    <xf numFmtId="40" fontId="22" fillId="5" borderId="2" xfId="0" applyNumberFormat="1" applyFont="1" applyFill="1" applyBorder="1" applyAlignment="1" applyProtection="1">
      <alignment horizontal="center" vertical="top" wrapText="1"/>
      <protection locked="0"/>
    </xf>
    <xf numFmtId="40" fontId="24"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4" fillId="5" borderId="2" xfId="0" applyNumberFormat="1" applyFont="1" applyFill="1" applyBorder="1" applyAlignment="1" applyProtection="1">
      <alignment horizontal="center" vertical="top" wrapText="1"/>
      <protection locked="0"/>
    </xf>
    <xf numFmtId="0" fontId="22"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2"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1" fillId="0" borderId="2" xfId="0" applyNumberFormat="1" applyFont="1" applyFill="1" applyBorder="1" applyAlignment="1" applyProtection="1">
      <alignment vertical="top" wrapText="1"/>
    </xf>
    <xf numFmtId="8" fontId="21"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1" fillId="5" borderId="2" xfId="0" applyNumberFormat="1" applyFont="1" applyFill="1" applyBorder="1" applyAlignment="1" applyProtection="1">
      <alignment vertical="top" wrapText="1"/>
      <protection locked="0"/>
    </xf>
    <xf numFmtId="0" fontId="0" fillId="5" borderId="2" xfId="0" applyFont="1" applyFill="1" applyBorder="1" applyAlignment="1" applyProtection="1">
      <alignment vertical="top" wrapText="1"/>
      <protection locked="0"/>
    </xf>
    <xf numFmtId="0" fontId="21" fillId="5" borderId="2" xfId="0" applyFont="1" applyFill="1" applyBorder="1" applyAlignment="1" applyProtection="1">
      <alignment vertical="top" wrapText="1"/>
      <protection locked="0"/>
    </xf>
    <xf numFmtId="2" fontId="21" fillId="5" borderId="2" xfId="0" applyNumberFormat="1" applyFont="1" applyFill="1" applyBorder="1" applyAlignment="1" applyProtection="1">
      <alignment vertical="top" wrapText="1"/>
      <protection locked="0"/>
    </xf>
    <xf numFmtId="9" fontId="21" fillId="5" borderId="2" xfId="0" applyNumberFormat="1" applyFont="1" applyFill="1" applyBorder="1" applyAlignment="1" applyProtection="1">
      <alignment vertical="top" wrapText="1"/>
      <protection locked="0"/>
    </xf>
    <xf numFmtId="0" fontId="0" fillId="5" borderId="2" xfId="0" applyFont="1" applyFill="1" applyBorder="1" applyProtection="1">
      <protection locked="0"/>
    </xf>
    <xf numFmtId="2" fontId="21" fillId="5" borderId="0" xfId="0" applyNumberFormat="1" applyFont="1" applyFill="1" applyAlignment="1" applyProtection="1">
      <alignment vertical="top" wrapText="1"/>
      <protection locked="0"/>
    </xf>
    <xf numFmtId="9" fontId="21" fillId="5" borderId="0" xfId="0" applyNumberFormat="1" applyFont="1" applyFill="1" applyAlignment="1" applyProtection="1">
      <alignment vertical="top" wrapText="1"/>
      <protection locked="0"/>
    </xf>
    <xf numFmtId="2" fontId="0" fillId="5" borderId="0" xfId="0" applyNumberFormat="1" applyFont="1" applyFill="1" applyProtection="1">
      <protection locked="0"/>
    </xf>
    <xf numFmtId="0" fontId="21" fillId="5" borderId="2" xfId="0" applyFont="1" applyFill="1" applyBorder="1" applyAlignment="1" applyProtection="1">
      <alignment wrapText="1"/>
      <protection locked="0"/>
    </xf>
    <xf numFmtId="0" fontId="0" fillId="5" borderId="0" xfId="0" applyFont="1" applyFill="1" applyBorder="1" applyAlignment="1" applyProtection="1">
      <alignment vertical="top" wrapText="1"/>
      <protection locked="0"/>
    </xf>
    <xf numFmtId="0" fontId="21" fillId="5" borderId="0" xfId="0" applyFont="1" applyFill="1" applyAlignment="1" applyProtection="1">
      <alignment vertical="top" wrapText="1"/>
      <protection locked="0"/>
    </xf>
    <xf numFmtId="0" fontId="0" fillId="5" borderId="0" xfId="0" applyFont="1" applyFill="1" applyProtection="1">
      <protection locked="0"/>
    </xf>
    <xf numFmtId="0" fontId="0" fillId="5" borderId="0" xfId="0" applyFont="1" applyFill="1" applyBorder="1" applyAlignment="1" applyProtection="1">
      <alignment vertical="top"/>
      <protection locked="0"/>
    </xf>
    <xf numFmtId="0" fontId="0" fillId="5" borderId="0" xfId="0" applyFont="1" applyFill="1" applyBorder="1" applyProtection="1">
      <protection locked="0"/>
    </xf>
    <xf numFmtId="0" fontId="0" fillId="5" borderId="2" xfId="0" applyFill="1" applyBorder="1" applyAlignment="1" applyProtection="1">
      <alignment vertical="top" wrapText="1"/>
      <protection locked="0"/>
    </xf>
    <xf numFmtId="0" fontId="0" fillId="5" borderId="0" xfId="0" applyFont="1" applyFill="1" applyAlignment="1" applyProtection="1">
      <alignment vertical="top" wrapText="1"/>
      <protection locked="0"/>
    </xf>
    <xf numFmtId="0" fontId="2" fillId="5" borderId="0" xfId="0" applyFont="1" applyFill="1" applyBorder="1"/>
    <xf numFmtId="0" fontId="4"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13" fillId="0" borderId="0" xfId="0" applyFont="1" applyAlignment="1" applyProtection="1">
      <alignment horizontal="left" wrapText="1"/>
    </xf>
    <xf numFmtId="0" fontId="0" fillId="0" borderId="0" xfId="0" applyAlignment="1" applyProtection="1">
      <alignment horizontal="left"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center"/>
    </xf>
    <xf numFmtId="0" fontId="2" fillId="0" borderId="3" xfId="0" applyFont="1" applyBorder="1" applyAlignment="1">
      <alignment horizontal="center"/>
    </xf>
    <xf numFmtId="0" fontId="0" fillId="0" borderId="0" xfId="0" applyBorder="1" applyAlignment="1">
      <alignment horizontal="center"/>
    </xf>
    <xf numFmtId="0" fontId="5" fillId="0" borderId="0" xfId="0" applyFont="1" applyAlignment="1">
      <alignment horizontal="center"/>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relativeIndent="0" justifyLastLine="0" shrinkToFit="0" mergeCell="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indent="0" relativeIndent="0" justifyLastLine="0" shrinkToFit="0" mergeCell="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relativeIndent="0" justifyLastLine="0" shrinkToFit="0" mergeCell="0" readingOrder="0"/>
      <protection locked="1" hidden="0"/>
    </dxf>
    <dxf>
      <font>
        <strike val="0"/>
        <outline val="0"/>
        <shadow val="0"/>
        <u val="none"/>
        <vertAlign val="baseline"/>
        <color rgb="FFFFFF00"/>
      </font>
      <alignment vertical="top" textRotation="0" indent="0" relativeIndent="255"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indent="0" relativeIndent="0" justifyLastLine="0" shrinkToFit="0" mergeCell="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er>
        <c:marker val="1"/>
        <c:axId val="154564480"/>
        <c:axId val="154566016"/>
      </c:lineChart>
      <c:catAx>
        <c:axId val="154564480"/>
        <c:scaling>
          <c:orientation val="minMax"/>
        </c:scaling>
        <c:axPos val="b"/>
        <c:tickLblPos val="nextTo"/>
        <c:crossAx val="154566016"/>
        <c:crosses val="autoZero"/>
        <c:auto val="1"/>
        <c:lblAlgn val="ctr"/>
        <c:lblOffset val="100"/>
      </c:catAx>
      <c:valAx>
        <c:axId val="154566016"/>
        <c:scaling>
          <c:orientation val="minMax"/>
        </c:scaling>
        <c:axPos val="l"/>
        <c:majorGridlines/>
        <c:numFmt formatCode="General" sourceLinked="1"/>
        <c:tickLblPos val="nextTo"/>
        <c:crossAx val="154564480"/>
        <c:crosses val="autoZero"/>
        <c:crossBetween val="between"/>
      </c:valAx>
    </c:plotArea>
    <c:legend>
      <c:legendPos val="r"/>
    </c:legend>
    <c:plotVisOnly val="1"/>
  </c:chart>
  <c:printSettings>
    <c:headerFooter/>
    <c:pageMargins b="0.75000000000000899" l="0.70000000000000062" r="0.70000000000000062" t="0.7500000000000089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2011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Extension Professor of Agronomy</a:t>
          </a:r>
        </a:p>
        <a:p>
          <a:pPr algn="ctr"/>
          <a:r>
            <a:rPr lang="en-US" sz="2000" b="1" cap="none" spc="0">
              <a:ln w="10541" cmpd="sng">
                <a:solidFill>
                  <a:schemeClr val="accent1">
                    <a:shade val="88000"/>
                    <a:satMod val="110000"/>
                  </a:schemeClr>
                </a:solidFill>
                <a:prstDash val="solid"/>
              </a:ln>
              <a:solidFill>
                <a:schemeClr val="tx1"/>
              </a:solidFill>
              <a:effectLst/>
            </a:rPr>
            <a:t>Roger Wilson, Farm Managerment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24</xdr:row>
      <xdr:rowOff>19051</xdr:rowOff>
    </xdr:from>
    <xdr:to>
      <xdr:col>14</xdr:col>
      <xdr:colOff>352425</xdr:colOff>
      <xdr:row>33</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6" name="Picture 5"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7" name="TextBox 6"/>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11</xdr:row>
      <xdr:rowOff>19051</xdr:rowOff>
    </xdr:from>
    <xdr:to>
      <xdr:col>6</xdr:col>
      <xdr:colOff>342900</xdr:colOff>
      <xdr:row>19</xdr:row>
      <xdr:rowOff>76201</xdr:rowOff>
    </xdr:to>
    <xdr:sp macro="" textlink="">
      <xdr:nvSpPr>
        <xdr:cNvPr id="2" name="TextBox 1"/>
        <xdr:cNvSpPr txBox="1"/>
      </xdr:nvSpPr>
      <xdr:spPr>
        <a:xfrm>
          <a:off x="3067050" y="1838326"/>
          <a:ext cx="2581275" cy="13525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2009-2010" publication (June 2010) which is available at http://www.agecon.unl.edu/realestate/RealEstateTablesKeyPoints.pdf</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9" name="Table9" displayName="Table9" ref="E2:F9" totalsRowShown="0" headerRowDxfId="92" dataDxfId="91">
  <autoFilter ref="E2:F9"/>
  <tableColumns count="2">
    <tableColumn id="1" name="Description" dataDxfId="90"/>
    <tableColumn id="2" name="Value" dataDxfId="89"/>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filterColumn colId="4"/>
    <filterColumn colId="8"/>
    <filterColumn colId="13"/>
    <filterColumn colId="14"/>
    <filterColumn colId="15"/>
  </autoFilter>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Variables'!$B$7/PowerUnits[[#This Row],[Est. Hours per Year]])</calculatedColumnFormula>
    </tableColumn>
    <tableColumn id="16" name="Opportunity Cost per Hour" dataDxfId="56">
      <calculatedColumnFormula>IF(PowerUnits[[#This Row],[Est. Hours per Year]]=0,0,PowerUnits[[#This Row],[Calculated Beg Yr. Value]]*'General Variables'!$B$8/PowerUnits[[#This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filterColumn colId="7"/>
    <filterColumn colId="8"/>
    <filterColumn colId="11"/>
    <filterColumn colId="12"/>
    <filterColumn colId="13"/>
    <filterColumn colId="14"/>
    <filterColumn colId="15"/>
    <filterColumn colId="16"/>
    <filterColumn colId="17"/>
    <filterColumn colId="18"/>
    <filterColumn colId="19"/>
    <filterColumn colId="20"/>
  </autoFilter>
  <sortState ref="A2:U99">
    <sortCondition ref="A1:A99"/>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Variables'!$B$7/Operations[[#This Row],[Annual Use]])</calculatedColumnFormula>
    </tableColumn>
    <tableColumn id="6" name="Opportunity Cost per Unit" dataDxfId="12" dataCellStyle="Comma">
      <calculatedColumnFormula>IF(Operations[[#This Row],[Annual Use]]=0,0,Operations[[#This Row],[Calc Beg Yr. Value]]*'General Variables'!$B$8/Operations[[#This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1" totalsRowShown="0" headerRowDxfId="10" dataDxfId="8" headerRowBorderDxfId="9" tableBorderDxfId="7">
  <autoFilter ref="B1:H121"/>
  <sortState ref="B2:H120">
    <sortCondition ref="C1:C120"/>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59"/>
  <dimension ref="A1"/>
  <sheetViews>
    <sheetView topLeftCell="A8" workbookViewId="0">
      <selection activeCell="Q30" sqref="Q30"/>
    </sheetView>
  </sheetViews>
  <sheetFormatPr defaultRowHeight="12.75"/>
  <cols>
    <col min="1" max="16384" width="9.140625" style="66"/>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35">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8" t="s">
        <v>535</v>
      </c>
      <c r="B1" s="81"/>
      <c r="C1" s="82"/>
      <c r="D1" s="82"/>
      <c r="E1" s="81"/>
      <c r="F1" s="82"/>
      <c r="G1" s="87"/>
      <c r="H1" s="131" t="s">
        <v>114</v>
      </c>
      <c r="I1" s="81"/>
      <c r="J1" s="55"/>
      <c r="K1" s="56" t="str">
        <f>'General Variables'!A1&amp;" "&amp;'General Variables'!B1</f>
        <v>Year 2011</v>
      </c>
      <c r="O1" s="88" t="s">
        <v>528</v>
      </c>
    </row>
    <row r="2" spans="1:15">
      <c r="A2" s="128" t="s">
        <v>474</v>
      </c>
      <c r="B2" s="81"/>
      <c r="C2" s="82"/>
      <c r="D2" s="82"/>
      <c r="E2" s="81"/>
      <c r="F2" s="82"/>
      <c r="G2" s="87"/>
      <c r="H2" s="132" t="s">
        <v>431</v>
      </c>
      <c r="I2" s="253" t="str">
        <f>IF(H2="","","acre-inches")</f>
        <v/>
      </c>
      <c r="J2" s="55"/>
      <c r="K2" s="55"/>
      <c r="O2" s="88" t="s">
        <v>527</v>
      </c>
    </row>
    <row r="3" spans="1:15">
      <c r="A3" s="128">
        <v>22</v>
      </c>
      <c r="B3" s="128" t="s">
        <v>85</v>
      </c>
      <c r="C3" s="82"/>
      <c r="D3" s="82"/>
      <c r="E3" s="81"/>
      <c r="F3" s="81"/>
      <c r="G3" s="81"/>
      <c r="H3" s="81"/>
      <c r="I3" s="81"/>
      <c r="J3" s="55"/>
      <c r="K3" s="55"/>
      <c r="O3" s="88" t="str">
        <f>B3</f>
        <v>cwt</v>
      </c>
    </row>
    <row r="5" spans="1:15" s="90" customFormat="1" ht="22.5" customHeight="1">
      <c r="B5" s="260" t="s">
        <v>92</v>
      </c>
      <c r="C5" s="262" t="s">
        <v>1</v>
      </c>
      <c r="D5" s="91"/>
      <c r="E5" s="262" t="str">
        <f>"Labor @ $" &amp;TEXT('General Variables'!B2,"#.00")&amp; " /Hr"</f>
        <v>Labor @ $12.00 /Hr</v>
      </c>
      <c r="F5" s="262" t="str">
        <f>"Fuel @ $" &amp; TEXT('General Variables'!B3,"#.00") &amp; " and Lube"</f>
        <v>Fuel @ $3.00 and Lube</v>
      </c>
      <c r="G5" s="264" t="s">
        <v>93</v>
      </c>
      <c r="H5" s="264"/>
      <c r="I5" s="264" t="s">
        <v>416</v>
      </c>
      <c r="J5" s="264"/>
      <c r="K5" s="264" t="s">
        <v>2</v>
      </c>
      <c r="L5" s="262" t="s">
        <v>438</v>
      </c>
    </row>
    <row r="6" spans="1:15" s="90" customFormat="1" ht="17.25" customHeight="1" thickBot="1">
      <c r="B6" s="261"/>
      <c r="C6" s="263"/>
      <c r="D6" s="92" t="s">
        <v>89</v>
      </c>
      <c r="E6" s="263"/>
      <c r="F6" s="263"/>
      <c r="G6" s="93" t="s">
        <v>94</v>
      </c>
      <c r="H6" s="93" t="s">
        <v>96</v>
      </c>
      <c r="I6" s="93" t="s">
        <v>94</v>
      </c>
      <c r="J6" s="93" t="s">
        <v>96</v>
      </c>
      <c r="K6" s="265"/>
      <c r="L6" s="263"/>
    </row>
    <row r="7" spans="1:15" ht="13.5" thickTop="1">
      <c r="A7" s="94">
        <v>1</v>
      </c>
      <c r="B7" s="254" t="s">
        <v>66</v>
      </c>
      <c r="C7" s="133">
        <v>1</v>
      </c>
      <c r="D7" s="256"/>
      <c r="E7" s="84">
        <f>IF(B7=0,"",IF(C7&gt;9999,"",ROUND('General Variables'!$B$2*VLOOKUP(B7,Operations[],10,FALSE)/VLOOKUP(B7,Operations[],9,FALSE)*C7,2)))</f>
        <v>0.6</v>
      </c>
      <c r="F7" s="84">
        <f>IF(B7=0,0,IF(C7&gt;9999,"",ROUND(IF(VLOOKUP(B7,Operations[],12,FALSE)=0,VLOOKUP(B7,Operations[],13,FALSE)*'General Variables'!$B$6,VLOOKUP(B7,Operations[],12,FALSE)*'General Variables'!$B$5)/VLOOKUP(B7,Operations[],9,FALSE)*C7,2)))</f>
        <v>0.41</v>
      </c>
      <c r="G7" s="84">
        <f>IF(B7=0,0,IF(C7&gt;9999,"",ROUND(VLOOKUP(VLOOKUP(B7,Operations[],11,FALSE),PowerUnits[],10,FALSE)/VLOOKUP(B7,Operations[],9,FALSE)*C7,2)))</f>
        <v>0.11</v>
      </c>
      <c r="H7" s="84">
        <f>IF(B7=0,"",IF(C7&gt;9999,"",ROUND(VLOOKUP($B7,Operations[],15,FALSE)*C7,2)))</f>
        <v>0.21</v>
      </c>
      <c r="I7" s="84">
        <f>IF(B7=0,0,IF(C7&gt;9999,"",ROUND(VLOOKUP(VLOOKUP(B7,Operations[],11,FALSE),PowerUnits[],16,FALSE)/VLOOKUP(B7,Operations[],9,FALSE)*C7,2)))</f>
        <v>0.62</v>
      </c>
      <c r="J7" s="84">
        <f>IF(B7=0,"",IF(C7&gt;9999,"",ROUND(VLOOKUP($B7,Operations[],21,FALSE)*$C7,2)))</f>
        <v>0.25</v>
      </c>
      <c r="K7" s="84">
        <f>IF(C7&gt;9999,"",ROUND(SUM(E7:J7),2))</f>
        <v>2.2000000000000002</v>
      </c>
      <c r="L7" s="95"/>
    </row>
    <row r="8" spans="1:15">
      <c r="A8" s="94">
        <v>2</v>
      </c>
      <c r="B8" s="254" t="s">
        <v>322</v>
      </c>
      <c r="C8" s="133">
        <v>1</v>
      </c>
      <c r="D8" s="256"/>
      <c r="E8" s="84">
        <f>IF(B8=0,"",IF(C8&gt;9999,"",ROUND('General Variables'!$B$2*VLOOKUP(B8,Operations[],10,FALSE)/VLOOKUP(B8,Operations[],9,FALSE)*C8,2)))</f>
        <v>0.62</v>
      </c>
      <c r="F8" s="84">
        <f>IF(B8=0,0,IF(C8&gt;9999,"",ROUND(IF(VLOOKUP(B8,Operations[],12,FALSE)=0,VLOOKUP(B8,Operations[],13,FALSE)*'General Variables'!$B$6,VLOOKUP(B8,Operations[],12,FALSE)*'General Variables'!$B$5)/VLOOKUP(B8,Operations[],9,FALSE)*C8,2)))</f>
        <v>1.4</v>
      </c>
      <c r="G8" s="84">
        <f>IF(B8=0,0,IF(C8&gt;9999,"",ROUND(VLOOKUP(VLOOKUP(B8,Operations[],11,FALSE),PowerUnits[],10,FALSE)/VLOOKUP(B8,Operations[],9,FALSE)*C8,2)))</f>
        <v>7.0000000000000007E-2</v>
      </c>
      <c r="H8" s="84">
        <f>IF(B8=0,"",IF(C8&gt;9999,"",ROUND(VLOOKUP($B8,Operations[],15,FALSE)*C8,2)))</f>
        <v>0.2</v>
      </c>
      <c r="I8" s="84">
        <f>IF(B8=0,0,IF(C8&gt;9999,"",ROUND(VLOOKUP(VLOOKUP(B8,Operations[],11,FALSE),PowerUnits[],16,FALSE)/VLOOKUP(B8,Operations[],9,FALSE)*C8,2)))</f>
        <v>1.43</v>
      </c>
      <c r="J8" s="84">
        <f>IF(B8=0,"",IF(C8&gt;9999,"",ROUND(VLOOKUP($B8,Operations[],21,FALSE)*$C8,2)))</f>
        <v>1.65</v>
      </c>
      <c r="K8" s="84">
        <f t="shared" ref="K8:K26" si="0">IF(C8&gt;9999,"",ROUND(SUM(E8:J8),2))</f>
        <v>5.37</v>
      </c>
      <c r="L8" s="95"/>
    </row>
    <row r="9" spans="1:15">
      <c r="A9" s="94">
        <v>3</v>
      </c>
      <c r="B9" s="254" t="s">
        <v>343</v>
      </c>
      <c r="C9" s="133">
        <v>1</v>
      </c>
      <c r="D9" s="256"/>
      <c r="E9" s="84">
        <f>IF(B9=0,"",IF(C9&gt;9999,"",ROUND('General Variables'!$B$2*VLOOKUP(B9,Operations[],10,FALSE)/VLOOKUP(B9,Operations[],9,FALSE)*C9,2)))</f>
        <v>0.91</v>
      </c>
      <c r="F9" s="84">
        <f>IF(B9=0,0,IF(C9&gt;9999,"",ROUND(IF(VLOOKUP(B9,Operations[],12,FALSE)=0,VLOOKUP(B9,Operations[],13,FALSE)*'General Variables'!$B$6,VLOOKUP(B9,Operations[],12,FALSE)*'General Variables'!$B$5)/VLOOKUP(B9,Operations[],9,FALSE)*C9,2)))</f>
        <v>1.4</v>
      </c>
      <c r="G9" s="84">
        <f>IF(B9=0,0,IF(C9&gt;9999,"",ROUND(VLOOKUP(VLOOKUP(B9,Operations[],11,FALSE),PowerUnits[],10,FALSE)/VLOOKUP(B9,Operations[],9,FALSE)*C9,2)))</f>
        <v>0.11</v>
      </c>
      <c r="H9" s="84">
        <f>IF(B9=0,"",IF(C9&gt;9999,"",ROUND(VLOOKUP($B9,Operations[],15,FALSE)*C9,2)))</f>
        <v>0.3</v>
      </c>
      <c r="I9" s="84">
        <f>IF(B9=0,0,IF(C9&gt;9999,"",ROUND(VLOOKUP(VLOOKUP(B9,Operations[],11,FALSE),PowerUnits[],16,FALSE)/VLOOKUP(B9,Operations[],9,FALSE)*C9,2)))</f>
        <v>2.2999999999999998</v>
      </c>
      <c r="J9" s="84">
        <f>IF(B9=0,"",IF(C9&gt;9999,"",ROUND(VLOOKUP($B9,Operations[],21,FALSE)*$C9,2)))</f>
        <v>1.31</v>
      </c>
      <c r="K9" s="84">
        <f t="shared" si="0"/>
        <v>6.33</v>
      </c>
      <c r="L9" s="95"/>
    </row>
    <row r="10" spans="1:15">
      <c r="A10" s="94">
        <v>4</v>
      </c>
      <c r="B10" s="254" t="s">
        <v>348</v>
      </c>
      <c r="C10" s="133">
        <v>1</v>
      </c>
      <c r="D10" s="256"/>
      <c r="E10" s="84">
        <f>IF(B10=0,"",IF(C10&gt;9999,"",ROUND('General Variables'!$B$2*VLOOKUP(B10,Operations[],10,FALSE)/VLOOKUP(B10,Operations[],9,FALSE)*C10,2)))</f>
        <v>0.98</v>
      </c>
      <c r="F10" s="84">
        <f>IF(B10=0,0,IF(C10&gt;9999,"",ROUND(IF(VLOOKUP(B10,Operations[],12,FALSE)=0,VLOOKUP(B10,Operations[],13,FALSE)*'General Variables'!$B$6,VLOOKUP(B10,Operations[],12,FALSE)*'General Variables'!$B$5)/VLOOKUP(B10,Operations[],9,FALSE)*C10,2)))</f>
        <v>0.43</v>
      </c>
      <c r="G10" s="84">
        <f>IF(B10=0,0,IF(C10&gt;9999,"",ROUND(VLOOKUP(VLOOKUP(B10,Operations[],11,FALSE),PowerUnits[],10,FALSE)/VLOOKUP(B10,Operations[],9,FALSE)*C10,2)))</f>
        <v>0.1</v>
      </c>
      <c r="H10" s="84">
        <f>IF(B10=0,"",IF(C10&gt;9999,"",ROUND(VLOOKUP($B10,Operations[],15,FALSE)*C10,2)))</f>
        <v>0.28999999999999998</v>
      </c>
      <c r="I10" s="84">
        <f>IF(B10=0,0,IF(C10&gt;9999,"",ROUND(VLOOKUP(VLOOKUP(B10,Operations[],11,FALSE),PowerUnits[],16,FALSE)/VLOOKUP(B10,Operations[],9,FALSE)*C10,2)))</f>
        <v>2.25</v>
      </c>
      <c r="J10" s="84">
        <f>IF(B10=0,"",IF(C10&gt;9999,"",ROUND(VLOOKUP($B10,Operations[],21,FALSE)*$C10,2)))</f>
        <v>1.26</v>
      </c>
      <c r="K10" s="84">
        <f t="shared" si="0"/>
        <v>5.31</v>
      </c>
      <c r="L10" s="95"/>
    </row>
    <row r="11" spans="1:15">
      <c r="A11" s="94">
        <v>5</v>
      </c>
      <c r="B11" s="254" t="s">
        <v>320</v>
      </c>
      <c r="C11" s="133">
        <v>1</v>
      </c>
      <c r="D11" s="256"/>
      <c r="E11" s="84">
        <f>IF(B11=0,"",IF(C11&gt;9999,"",ROUND('General Variables'!$B$2*VLOOKUP(B11,Operations[],10,FALSE)/VLOOKUP(B11,Operations[],9,FALSE)*C11,2)))</f>
        <v>1.8</v>
      </c>
      <c r="F11" s="84">
        <f>IF(B11=0,0,IF(C11&gt;9999,"",ROUND(IF(VLOOKUP(B11,Operations[],12,FALSE)=0,VLOOKUP(B11,Operations[],13,FALSE)*'General Variables'!$B$6,VLOOKUP(B11,Operations[],12,FALSE)*'General Variables'!$B$5)/VLOOKUP(B11,Operations[],9,FALSE)*C11,2)))</f>
        <v>2.35</v>
      </c>
      <c r="G11" s="84">
        <f>IF(B11=0,0,IF(C11&gt;9999,"",ROUND(VLOOKUP(VLOOKUP(B11,Operations[],11,FALSE),PowerUnits[],10,FALSE)/VLOOKUP(B11,Operations[],9,FALSE)*C11,2)))</f>
        <v>0.34</v>
      </c>
      <c r="H11" s="84">
        <f>IF(B11=0,"",IF(C11&gt;9999,"",ROUND(VLOOKUP($B11,Operations[],15,FALSE)*C11,2)))</f>
        <v>1.8</v>
      </c>
      <c r="I11" s="84">
        <f>IF(B11=0,0,IF(C11&gt;9999,"",ROUND(VLOOKUP(VLOOKUP(B11,Operations[],11,FALSE),PowerUnits[],16,FALSE)/VLOOKUP(B11,Operations[],9,FALSE)*C11,2)))</f>
        <v>1.86</v>
      </c>
      <c r="J11" s="84">
        <f>IF(B11=0,"",IF(C11&gt;9999,"",ROUND(VLOOKUP($B11,Operations[],21,FALSE)*$C11,2)))</f>
        <v>1.44</v>
      </c>
      <c r="K11" s="84">
        <f t="shared" si="0"/>
        <v>9.59</v>
      </c>
      <c r="L11" s="95"/>
    </row>
    <row r="12" spans="1:15">
      <c r="A12" s="94">
        <v>6</v>
      </c>
      <c r="B12" s="254" t="s">
        <v>66</v>
      </c>
      <c r="C12" s="133">
        <v>1</v>
      </c>
      <c r="D12" s="256"/>
      <c r="E12" s="84">
        <f>IF(B12=0,"",IF(C12&gt;9999,"",ROUND('General Variables'!$B$2*VLOOKUP(B12,Operations[],10,FALSE)/VLOOKUP(B12,Operations[],9,FALSE)*C12,2)))</f>
        <v>0.6</v>
      </c>
      <c r="F12" s="84">
        <f>IF(B12=0,0,IF(C12&gt;9999,"",ROUND(IF(VLOOKUP(B12,Operations[],12,FALSE)=0,VLOOKUP(B12,Operations[],13,FALSE)*'General Variables'!$B$6,VLOOKUP(B12,Operations[],12,FALSE)*'General Variables'!$B$5)/VLOOKUP(B12,Operations[],9,FALSE)*C12,2)))</f>
        <v>0.41</v>
      </c>
      <c r="G12" s="84">
        <f>IF(B12=0,0,IF(C12&gt;9999,"",ROUND(VLOOKUP(VLOOKUP(B12,Operations[],11,FALSE),PowerUnits[],10,FALSE)/VLOOKUP(B12,Operations[],9,FALSE)*C12,2)))</f>
        <v>0.11</v>
      </c>
      <c r="H12" s="84">
        <f>IF(B12=0,"",IF(C12&gt;9999,"",ROUND(VLOOKUP($B12,Operations[],15,FALSE)*C12,2)))</f>
        <v>0.21</v>
      </c>
      <c r="I12" s="84">
        <f>IF(B12=0,0,IF(C12&gt;9999,"",ROUND(VLOOKUP(VLOOKUP(B12,Operations[],11,FALSE),PowerUnits[],16,FALSE)/VLOOKUP(B12,Operations[],9,FALSE)*C12,2)))</f>
        <v>0.62</v>
      </c>
      <c r="J12" s="84">
        <f>IF(B12=0,"",IF(C12&gt;9999,"",ROUND(VLOOKUP($B12,Operations[],21,FALSE)*$C12,2)))</f>
        <v>0.25</v>
      </c>
      <c r="K12" s="84">
        <f t="shared" si="0"/>
        <v>2.2000000000000002</v>
      </c>
      <c r="L12" s="95"/>
    </row>
    <row r="13" spans="1:15">
      <c r="A13" s="94">
        <v>7</v>
      </c>
      <c r="B13" s="254" t="s">
        <v>359</v>
      </c>
      <c r="C13" s="133">
        <v>1</v>
      </c>
      <c r="D13" s="256"/>
      <c r="E13" s="84">
        <f>IF(B13=0,"",IF(C13&gt;9999,"",ROUND('General Variables'!$B$2*VLOOKUP(B13,Operations[],10,FALSE)/VLOOKUP(B13,Operations[],9,FALSE)*C13,2)))</f>
        <v>1.26</v>
      </c>
      <c r="F13" s="84">
        <f>IF(B13=0,0,IF(C13&gt;9999,"",ROUND(IF(VLOOKUP(B13,Operations[],12,FALSE)=0,VLOOKUP(B13,Operations[],13,FALSE)*'General Variables'!$B$6,VLOOKUP(B13,Operations[],12,FALSE)*'General Variables'!$B$5)/VLOOKUP(B13,Operations[],9,FALSE)*C13,2)))</f>
        <v>1.19</v>
      </c>
      <c r="G13" s="84">
        <f>IF(B13=0,0,IF(C13&gt;9999,"",ROUND(VLOOKUP(VLOOKUP(B13,Operations[],11,FALSE),PowerUnits[],10,FALSE)/VLOOKUP(B13,Operations[],9,FALSE)*C13,2)))</f>
        <v>1.81</v>
      </c>
      <c r="H13" s="84">
        <f>IF(B13=0,"",IF(C13&gt;9999,"",ROUND(VLOOKUP($B13,Operations[],15,FALSE)*C13,2)))</f>
        <v>0</v>
      </c>
      <c r="I13" s="84">
        <f>IF(B13=0,0,IF(C13&gt;9999,"",ROUND(VLOOKUP(VLOOKUP(B13,Operations[],11,FALSE),PowerUnits[],16,FALSE)/VLOOKUP(B13,Operations[],9,FALSE)*C13,2)))</f>
        <v>1.32</v>
      </c>
      <c r="J13" s="84">
        <f>IF(B13=0,"",IF(C13&gt;9999,"",ROUND(VLOOKUP($B13,Operations[],21,FALSE)*$C13,2)))</f>
        <v>0</v>
      </c>
      <c r="K13" s="84">
        <f t="shared" si="0"/>
        <v>5.58</v>
      </c>
      <c r="L13" s="95"/>
    </row>
    <row r="14" spans="1:15">
      <c r="A14" s="94">
        <v>8</v>
      </c>
      <c r="B14" s="254" t="s">
        <v>314</v>
      </c>
      <c r="C14" s="133">
        <v>1</v>
      </c>
      <c r="D14" s="256"/>
      <c r="E14" s="84">
        <f>IF(B14=0,"",IF(C14&gt;9999,"",ROUND('General Variables'!$B$2*VLOOKUP(B14,Operations[],10,FALSE)/VLOOKUP(B14,Operations[],9,FALSE)*C14,2)))</f>
        <v>1.89</v>
      </c>
      <c r="F14" s="84">
        <f>IF(B14=0,0,IF(C14&gt;9999,"",ROUND(IF(VLOOKUP(B14,Operations[],12,FALSE)=0,VLOOKUP(B14,Operations[],13,FALSE)*'General Variables'!$B$6,VLOOKUP(B14,Operations[],12,FALSE)*'General Variables'!$B$5)/VLOOKUP(B14,Operations[],9,FALSE)*C14,2)))</f>
        <v>5.16</v>
      </c>
      <c r="G14" s="84">
        <f>IF(B14=0,0,IF(C14&gt;9999,"",ROUND(VLOOKUP(VLOOKUP(B14,Operations[],11,FALSE),PowerUnits[],10,FALSE)/VLOOKUP(B14,Operations[],9,FALSE)*C14,2)))</f>
        <v>2.67</v>
      </c>
      <c r="H14" s="84">
        <f>IF(B14=0,"",IF(C14&gt;9999,"",ROUND(VLOOKUP($B14,Operations[],15,FALSE)*C14,2)))</f>
        <v>0.74</v>
      </c>
      <c r="I14" s="84">
        <f>IF(B14=0,0,IF(C14&gt;9999,"",ROUND(VLOOKUP(VLOOKUP(B14,Operations[],11,FALSE),PowerUnits[],16,FALSE)/VLOOKUP(B14,Operations[],9,FALSE)*C14,2)))</f>
        <v>10.42</v>
      </c>
      <c r="J14" s="84">
        <f>IF(B14=0,"",IF(C14&gt;9999,"",ROUND(VLOOKUP($B14,Operations[],21,FALSE)*$C14,2)))</f>
        <v>2.25</v>
      </c>
      <c r="K14" s="84">
        <f t="shared" si="0"/>
        <v>23.13</v>
      </c>
      <c r="L14" s="95"/>
    </row>
    <row r="15" spans="1:15">
      <c r="A15" s="94">
        <v>9</v>
      </c>
      <c r="B15" s="254" t="s">
        <v>356</v>
      </c>
      <c r="C15" s="133" t="s">
        <v>3</v>
      </c>
      <c r="D15" s="257"/>
      <c r="E15" s="84" t="str">
        <f>IF(B15=0,"",IF(C15&gt;9999,"",ROUND('General Variables'!$B$2*VLOOKUP(B15,Operations[],10,FALSE)/VLOOKUP(B15,Operations[],9,FALSE)*C15,2)))</f>
        <v/>
      </c>
      <c r="F15" s="84" t="str">
        <f>IF(B15=0,0,IF(C15&gt;9999,"",ROUND(IF(VLOOKUP(B15,Operations[],12,FALSE)=0,VLOOKUP(B15,Operations[],13,FALSE)*'General Variables'!$B$6,VLOOKUP(B15,Operations[],12,FALSE)*'General Variables'!$B$5)/VLOOKUP(B15,Operations[],9,FALSE)*C15,2)))</f>
        <v/>
      </c>
      <c r="G15" s="84" t="str">
        <f>IF(B15=0,0,IF(C15&gt;9999,"",ROUND(VLOOKUP(VLOOKUP(B15,Operations[],11,FALSE),PowerUnits[],10,FALSE)/VLOOKUP(B15,Operations[],9,FALSE)*C15,2)))</f>
        <v/>
      </c>
      <c r="H15" s="84" t="str">
        <f>IF(B15=0,"",IF(C15&gt;9999,"",ROUND(VLOOKUP($B15,Operations[],15,FALSE)*C15,2)))</f>
        <v/>
      </c>
      <c r="I15" s="84" t="str">
        <f>IF(B15=0,0,IF(C15&gt;9999,"",ROUND(VLOOKUP(VLOOKUP(B15,Operations[],11,FALSE),PowerUnits[],16,FALSE)/VLOOKUP(B15,Operations[],9,FALSE)*C15,2)))</f>
        <v/>
      </c>
      <c r="J15" s="84" t="str">
        <f>IF(B15=0,"",IF(C15&gt;9999,"",ROUND(VLOOKUP($B15,Operations[],21,FALSE)*$C15,2)))</f>
        <v/>
      </c>
      <c r="K15" s="84" t="str">
        <f t="shared" si="0"/>
        <v/>
      </c>
      <c r="L15" s="95"/>
    </row>
    <row r="16" spans="1:15" hidden="1">
      <c r="A16" s="94">
        <v>10</v>
      </c>
      <c r="B16" s="254"/>
      <c r="C16" s="133"/>
      <c r="D16" s="257"/>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5"/>
    </row>
    <row r="17" spans="1:12" hidden="1">
      <c r="A17" s="94">
        <v>11</v>
      </c>
      <c r="B17" s="254"/>
      <c r="C17" s="133"/>
      <c r="D17" s="257"/>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5"/>
    </row>
    <row r="18" spans="1:12" hidden="1">
      <c r="A18" s="94">
        <v>12</v>
      </c>
      <c r="B18" s="254"/>
      <c r="C18" s="133"/>
      <c r="D18" s="257"/>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5"/>
    </row>
    <row r="19" spans="1:12" hidden="1">
      <c r="A19" s="94">
        <v>13</v>
      </c>
      <c r="B19" s="254"/>
      <c r="C19" s="133"/>
      <c r="D19" s="257"/>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5"/>
    </row>
    <row r="20" spans="1:12" hidden="1">
      <c r="A20" s="94">
        <v>14</v>
      </c>
      <c r="B20" s="255"/>
      <c r="C20" s="134"/>
      <c r="D20" s="257"/>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5"/>
    </row>
    <row r="21" spans="1:12" hidden="1">
      <c r="A21" s="94">
        <v>15</v>
      </c>
      <c r="B21" s="255"/>
      <c r="C21" s="134"/>
      <c r="D21" s="257"/>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5"/>
    </row>
    <row r="22" spans="1:12" hidden="1">
      <c r="A22" s="94">
        <v>16</v>
      </c>
      <c r="B22" s="255"/>
      <c r="C22" s="134"/>
      <c r="D22" s="257"/>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5"/>
    </row>
    <row r="23" spans="1:12" hidden="1">
      <c r="A23" s="94">
        <v>17</v>
      </c>
      <c r="B23" s="255"/>
      <c r="C23" s="134"/>
      <c r="D23" s="257"/>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5"/>
    </row>
    <row r="24" spans="1:12" hidden="1">
      <c r="A24" s="94">
        <v>18</v>
      </c>
      <c r="B24" s="255"/>
      <c r="C24" s="134"/>
      <c r="D24" s="257"/>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5"/>
    </row>
    <row r="25" spans="1:12" hidden="1">
      <c r="A25" s="94">
        <v>19</v>
      </c>
      <c r="B25" s="255"/>
      <c r="C25" s="134"/>
      <c r="D25" s="257"/>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6"/>
    </row>
    <row r="26" spans="1:12" hidden="1">
      <c r="A26" s="94">
        <v>20</v>
      </c>
      <c r="B26" s="255"/>
      <c r="C26" s="134"/>
      <c r="D26" s="257"/>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7"/>
    </row>
    <row r="27" spans="1:12" ht="3" customHeight="1" thickBot="1">
      <c r="A27" s="94"/>
      <c r="B27" s="97"/>
      <c r="C27" s="98"/>
      <c r="D27" s="98"/>
      <c r="E27" s="86"/>
      <c r="F27" s="86"/>
      <c r="G27" s="86"/>
      <c r="H27" s="86"/>
      <c r="I27" s="86"/>
      <c r="J27" s="86"/>
      <c r="K27" s="86"/>
      <c r="L27" s="99"/>
    </row>
    <row r="28" spans="1:12" ht="13.5" thickTop="1">
      <c r="C28" s="100" t="s">
        <v>95</v>
      </c>
      <c r="D28" s="100"/>
      <c r="E28" s="83">
        <f>SUM(E7:E26)</f>
        <v>8.66</v>
      </c>
      <c r="F28" s="83">
        <f t="shared" ref="F28:K28" si="1">SUM(F7:F26)</f>
        <v>12.75</v>
      </c>
      <c r="G28" s="83">
        <f t="shared" si="1"/>
        <v>5.32</v>
      </c>
      <c r="H28" s="83">
        <f t="shared" si="1"/>
        <v>3.75</v>
      </c>
      <c r="I28" s="83">
        <f t="shared" si="1"/>
        <v>20.82</v>
      </c>
      <c r="J28" s="83">
        <f t="shared" si="1"/>
        <v>8.41</v>
      </c>
      <c r="K28" s="83">
        <f t="shared" si="1"/>
        <v>59.709999999999994</v>
      </c>
      <c r="L28" s="95"/>
    </row>
    <row r="30" spans="1:12" ht="24" customHeight="1" thickBot="1">
      <c r="B30" s="87"/>
      <c r="C30" s="87"/>
      <c r="D30" s="87"/>
      <c r="E30" s="87"/>
      <c r="F30" s="263" t="s">
        <v>109</v>
      </c>
      <c r="G30" s="263" t="s">
        <v>106</v>
      </c>
      <c r="H30" s="262" t="s">
        <v>110</v>
      </c>
      <c r="I30" s="262"/>
      <c r="J30" s="263" t="s">
        <v>81</v>
      </c>
      <c r="L30" s="262" t="s">
        <v>438</v>
      </c>
    </row>
    <row r="31" spans="1:12" s="101" customFormat="1" ht="14.25" thickTop="1" thickBot="1">
      <c r="B31" s="102" t="s">
        <v>105</v>
      </c>
      <c r="C31" s="92"/>
      <c r="D31" s="92"/>
      <c r="E31" s="92"/>
      <c r="F31" s="263"/>
      <c r="G31" s="263"/>
      <c r="H31" s="92" t="s">
        <v>111</v>
      </c>
      <c r="I31" s="92" t="s">
        <v>89</v>
      </c>
      <c r="J31" s="263"/>
      <c r="K31" s="92" t="s">
        <v>107</v>
      </c>
      <c r="L31" s="263"/>
    </row>
    <row r="32" spans="1:12" ht="13.5" thickTop="1">
      <c r="A32" s="1"/>
      <c r="B32" s="254" t="s">
        <v>39</v>
      </c>
      <c r="C32" s="266" t="str">
        <f>IF(B32=0,"",VLOOKUP($B32,Materials[],2,FALSE))</f>
        <v>Herbicide</v>
      </c>
      <c r="D32" s="266"/>
      <c r="E32" s="266"/>
      <c r="F32" s="133">
        <v>1</v>
      </c>
      <c r="G32" s="136">
        <v>1</v>
      </c>
      <c r="H32" s="137">
        <v>32</v>
      </c>
      <c r="I32" s="103" t="str">
        <f>IF($B32=0,"",VLOOKUP($B32,Materials[],5,FALSE))</f>
        <v>ounce</v>
      </c>
      <c r="J32" s="104">
        <f>IF($B32=0,"",VLOOKUP($B32,Materials[],7,FALSE))</f>
        <v>9.375E-2</v>
      </c>
      <c r="K32" s="83">
        <f>IF(B32=0,0,ROUND(G32*H32*J32,2))</f>
        <v>3</v>
      </c>
      <c r="L32" s="95"/>
    </row>
    <row r="33" spans="1:12">
      <c r="A33" s="1"/>
      <c r="B33" s="254" t="s">
        <v>13</v>
      </c>
      <c r="C33" s="266" t="str">
        <f>IF(B33=0,"",VLOOKUP($B33,Materials[],2,FALSE))</f>
        <v>Fertilizer</v>
      </c>
      <c r="D33" s="266"/>
      <c r="E33" s="266"/>
      <c r="F33" s="133">
        <v>1</v>
      </c>
      <c r="G33" s="136">
        <v>1</v>
      </c>
      <c r="H33" s="137">
        <v>2</v>
      </c>
      <c r="I33" s="103" t="str">
        <f>IF($B33=0,"",VLOOKUP($B33,Materials[],5,FALSE))</f>
        <v>lbs N</v>
      </c>
      <c r="J33" s="104">
        <f>IF($B33=0,"",VLOOKUP($B33,Materials[],7,FALSE))</f>
        <v>0.53</v>
      </c>
      <c r="K33" s="83">
        <f t="shared" ref="K33:K51" si="2">IF(B33=0,0,ROUND(G33*H33*J33,2))</f>
        <v>1.06</v>
      </c>
      <c r="L33" s="95"/>
    </row>
    <row r="34" spans="1:12">
      <c r="A34" s="1"/>
      <c r="B34" s="254" t="s">
        <v>14</v>
      </c>
      <c r="C34" s="266" t="str">
        <f>IF(B34=0,"",VLOOKUP($B34,Materials[],2,FALSE))</f>
        <v>Fertilizer</v>
      </c>
      <c r="D34" s="266"/>
      <c r="E34" s="266"/>
      <c r="F34" s="133">
        <v>4</v>
      </c>
      <c r="G34" s="136">
        <v>1</v>
      </c>
      <c r="H34" s="137">
        <v>45</v>
      </c>
      <c r="I34" s="103" t="str">
        <f>IF($B34=0,"",VLOOKUP($B34,Materials[],5,FALSE))</f>
        <v>lbs N</v>
      </c>
      <c r="J34" s="104">
        <f>IF($B34=0,"",VLOOKUP($B34,Materials[],7,FALSE))</f>
        <v>0.70000000000000007</v>
      </c>
      <c r="K34" s="83">
        <f t="shared" si="2"/>
        <v>31.5</v>
      </c>
      <c r="L34" s="95"/>
    </row>
    <row r="35" spans="1:12">
      <c r="A35" s="1"/>
      <c r="B35" s="254" t="s">
        <v>52</v>
      </c>
      <c r="C35" s="266" t="str">
        <f>IF(B35=0,"",VLOOKUP($B35,Materials[],2,FALSE))</f>
        <v>Seed</v>
      </c>
      <c r="D35" s="266"/>
      <c r="E35" s="266"/>
      <c r="F35" s="133">
        <v>5</v>
      </c>
      <c r="G35" s="136">
        <v>1</v>
      </c>
      <c r="H35" s="137">
        <v>12</v>
      </c>
      <c r="I35" s="103" t="str">
        <f>IF($B35=0,"",VLOOKUP($B35,Materials[],5,FALSE))</f>
        <v>pound</v>
      </c>
      <c r="J35" s="104">
        <f>IF($B35=0,"",VLOOKUP($B35,Materials[],7,FALSE))</f>
        <v>0.4</v>
      </c>
      <c r="K35" s="83">
        <f t="shared" si="2"/>
        <v>4.8</v>
      </c>
      <c r="L35" s="95"/>
    </row>
    <row r="36" spans="1:12">
      <c r="A36" s="1"/>
      <c r="B36" s="254" t="s">
        <v>10</v>
      </c>
      <c r="C36" s="266" t="str">
        <f>IF(B36=0,"",VLOOKUP($B36,Materials[],2,FALSE))</f>
        <v>Herbicide</v>
      </c>
      <c r="D36" s="266"/>
      <c r="E36" s="266"/>
      <c r="F36" s="133">
        <v>6</v>
      </c>
      <c r="G36" s="136">
        <v>1</v>
      </c>
      <c r="H36" s="137">
        <v>0.75</v>
      </c>
      <c r="I36" s="103" t="str">
        <f>IF($B36=0,"",VLOOKUP($B36,Materials[],5,FALSE))</f>
        <v>pint</v>
      </c>
      <c r="J36" s="104">
        <f>IF($B36=0,"",VLOOKUP($B36,Materials[],7,FALSE))</f>
        <v>1.75</v>
      </c>
      <c r="K36" s="83">
        <f t="shared" si="2"/>
        <v>1.31</v>
      </c>
      <c r="L36" s="95"/>
    </row>
    <row r="37" spans="1:12">
      <c r="A37" s="1"/>
      <c r="B37" s="254" t="s">
        <v>30</v>
      </c>
      <c r="C37" s="266" t="str">
        <f>IF(B37=0,"",VLOOKUP($B37,Materials[],2,FALSE))</f>
        <v>Herbicide</v>
      </c>
      <c r="D37" s="266"/>
      <c r="E37" s="266"/>
      <c r="F37" s="133">
        <v>6</v>
      </c>
      <c r="G37" s="136">
        <v>1</v>
      </c>
      <c r="H37" s="137">
        <v>0.5</v>
      </c>
      <c r="I37" s="103" t="str">
        <f>IF($B37=0,"",VLOOKUP($B37,Materials[],5,FALSE))</f>
        <v>ounce</v>
      </c>
      <c r="J37" s="104">
        <f>IF($B37=0,"",VLOOKUP($B37,Materials[],7,FALSE))</f>
        <v>0.46031746031746029</v>
      </c>
      <c r="K37" s="83">
        <f t="shared" si="2"/>
        <v>0.23</v>
      </c>
      <c r="L37" s="95"/>
    </row>
    <row r="38" spans="1:12">
      <c r="A38" s="124"/>
      <c r="B38" s="254" t="s">
        <v>460</v>
      </c>
      <c r="C38" s="266" t="str">
        <f>IF(B38=0,"",VLOOKUP($B38,Materials[],2,FALSE))</f>
        <v>Custom</v>
      </c>
      <c r="D38" s="266"/>
      <c r="E38" s="266"/>
      <c r="F38" s="133">
        <v>9</v>
      </c>
      <c r="G38" s="136">
        <v>1</v>
      </c>
      <c r="H38" s="137">
        <f>A3</f>
        <v>22</v>
      </c>
      <c r="I38" s="103" t="str">
        <f>IF($B38=0,"",VLOOKUP($B38,Materials[],5,FALSE))</f>
        <v>cwt</v>
      </c>
      <c r="J38" s="104">
        <f>IF($B38=0,"",VLOOKUP($B38,Materials[],7,FALSE))</f>
        <v>0.2</v>
      </c>
      <c r="K38" s="83">
        <f t="shared" si="2"/>
        <v>4.4000000000000004</v>
      </c>
      <c r="L38" s="95"/>
    </row>
    <row r="39" spans="1:12" hidden="1">
      <c r="A39" s="124"/>
      <c r="B39" s="254"/>
      <c r="C39" s="266" t="str">
        <f>IF(B39=0,"",VLOOKUP($B39,Materials[],2,FALSE))</f>
        <v/>
      </c>
      <c r="D39" s="266"/>
      <c r="E39" s="266"/>
      <c r="F39" s="133"/>
      <c r="G39" s="136"/>
      <c r="H39" s="137"/>
      <c r="I39" s="103" t="str">
        <f>IF($B39=0,"",VLOOKUP($B39,Materials[],5,FALSE))</f>
        <v/>
      </c>
      <c r="J39" s="104" t="str">
        <f>IF($B39=0,"",VLOOKUP($B39,Materials[],7,FALSE))</f>
        <v/>
      </c>
      <c r="K39" s="83">
        <f t="shared" si="2"/>
        <v>0</v>
      </c>
      <c r="L39" s="95"/>
    </row>
    <row r="40" spans="1:12" hidden="1">
      <c r="A40" s="124"/>
      <c r="B40" s="254"/>
      <c r="C40" s="266" t="str">
        <f>IF(B40=0,"",VLOOKUP($B40,Materials[],2,FALSE))</f>
        <v/>
      </c>
      <c r="D40" s="266"/>
      <c r="E40" s="266"/>
      <c r="F40" s="133"/>
      <c r="G40" s="136"/>
      <c r="H40" s="137"/>
      <c r="I40" s="103" t="str">
        <f>IF($B40=0,"",VLOOKUP($B40,Materials[],5,FALSE))</f>
        <v/>
      </c>
      <c r="J40" s="104" t="str">
        <f>IF($B40=0,"",VLOOKUP($B40,Materials[],7,FALSE))</f>
        <v/>
      </c>
      <c r="K40" s="83">
        <f t="shared" si="2"/>
        <v>0</v>
      </c>
      <c r="L40" s="95"/>
    </row>
    <row r="41" spans="1:12" hidden="1">
      <c r="A41" s="124"/>
      <c r="B41" s="254"/>
      <c r="C41" s="266" t="str">
        <f>IF(B41=0,"",VLOOKUP($B41,Materials[],2,FALSE))</f>
        <v/>
      </c>
      <c r="D41" s="266"/>
      <c r="E41" s="266"/>
      <c r="F41" s="133"/>
      <c r="G41" s="136"/>
      <c r="H41" s="137"/>
      <c r="I41" s="103" t="str">
        <f>IF($B41=0,"",VLOOKUP($B41,Materials[],5,FALSE))</f>
        <v/>
      </c>
      <c r="J41" s="104" t="str">
        <f>IF($B41=0,"",VLOOKUP($B41,Materials[],7,FALSE))</f>
        <v/>
      </c>
      <c r="K41" s="83">
        <f t="shared" si="2"/>
        <v>0</v>
      </c>
      <c r="L41" s="95"/>
    </row>
    <row r="42" spans="1:12" hidden="1">
      <c r="A42" s="124"/>
      <c r="B42" s="254"/>
      <c r="C42" s="266" t="str">
        <f>IF(B42=0,"",VLOOKUP($B42,Materials[],2,FALSE))</f>
        <v/>
      </c>
      <c r="D42" s="266"/>
      <c r="E42" s="266"/>
      <c r="F42" s="133"/>
      <c r="G42" s="136"/>
      <c r="H42" s="137"/>
      <c r="I42" s="103" t="str">
        <f>IF($B42=0,"",VLOOKUP($B42,Materials[],5,FALSE))</f>
        <v/>
      </c>
      <c r="J42" s="104" t="str">
        <f>IF($B42=0,"",VLOOKUP($B42,Materials[],7,FALSE))</f>
        <v/>
      </c>
      <c r="K42" s="83">
        <f t="shared" si="2"/>
        <v>0</v>
      </c>
      <c r="L42" s="95"/>
    </row>
    <row r="43" spans="1:12" hidden="1">
      <c r="A43" s="1"/>
      <c r="B43" s="254"/>
      <c r="C43" s="266" t="str">
        <f>IF(B43=0,"",VLOOKUP($B43,Materials[],2,FALSE))</f>
        <v/>
      </c>
      <c r="D43" s="266"/>
      <c r="E43" s="266"/>
      <c r="F43" s="133"/>
      <c r="G43" s="136"/>
      <c r="H43" s="137"/>
      <c r="I43" s="103" t="str">
        <f>IF($B43=0,"",VLOOKUP($B43,Materials[],5,FALSE))</f>
        <v/>
      </c>
      <c r="J43" s="104" t="str">
        <f>IF($B43=0,"",VLOOKUP($B43,Materials[],7,FALSE))</f>
        <v/>
      </c>
      <c r="K43" s="83">
        <f t="shared" si="2"/>
        <v>0</v>
      </c>
      <c r="L43" s="95"/>
    </row>
    <row r="44" spans="1:12" hidden="1">
      <c r="A44" s="1"/>
      <c r="B44" s="254"/>
      <c r="C44" s="266" t="str">
        <f>IF(B44=0,"",VLOOKUP($B44,Materials[],2,FALSE))</f>
        <v/>
      </c>
      <c r="D44" s="266"/>
      <c r="E44" s="266"/>
      <c r="F44" s="133"/>
      <c r="G44" s="136"/>
      <c r="H44" s="137"/>
      <c r="I44" s="103" t="str">
        <f>IF($B44=0,"",VLOOKUP($B44,Materials[],5,FALSE))</f>
        <v/>
      </c>
      <c r="J44" s="104" t="str">
        <f>IF($B44=0,"",VLOOKUP($B44,Materials[],7,FALSE))</f>
        <v/>
      </c>
      <c r="K44" s="83">
        <f t="shared" si="2"/>
        <v>0</v>
      </c>
      <c r="L44" s="95"/>
    </row>
    <row r="45" spans="1:12" hidden="1">
      <c r="B45" s="255"/>
      <c r="C45" s="266" t="str">
        <f>IF(B45=0,"",VLOOKUP($B45,Materials[],2,FALSE))</f>
        <v/>
      </c>
      <c r="D45" s="266"/>
      <c r="E45" s="266"/>
      <c r="F45" s="134"/>
      <c r="G45" s="136"/>
      <c r="H45" s="139"/>
      <c r="I45" s="103" t="str">
        <f>IF($B45=0,"",VLOOKUP($B45,Materials[],5,FALSE))</f>
        <v/>
      </c>
      <c r="J45" s="104" t="str">
        <f>IF($B45=0,"",VLOOKUP($B45,Materials[],7,FALSE))</f>
        <v/>
      </c>
      <c r="K45" s="83">
        <f t="shared" si="2"/>
        <v>0</v>
      </c>
      <c r="L45" s="95"/>
    </row>
    <row r="46" spans="1:12" hidden="1">
      <c r="B46" s="255"/>
      <c r="C46" s="266" t="str">
        <f>IF(B46=0,"",VLOOKUP($B46,Materials[],2,FALSE))</f>
        <v/>
      </c>
      <c r="D46" s="266"/>
      <c r="E46" s="266"/>
      <c r="F46" s="134"/>
      <c r="G46" s="136"/>
      <c r="H46" s="139"/>
      <c r="I46" s="103" t="str">
        <f>IF($B46=0,"",VLOOKUP($B46,Materials[],5,FALSE))</f>
        <v/>
      </c>
      <c r="J46" s="104" t="str">
        <f>IF($B46=0,"",VLOOKUP($B46,Materials[],7,FALSE))</f>
        <v/>
      </c>
      <c r="K46" s="83">
        <f t="shared" si="2"/>
        <v>0</v>
      </c>
      <c r="L46" s="95"/>
    </row>
    <row r="47" spans="1:12" hidden="1">
      <c r="B47" s="255"/>
      <c r="C47" s="266" t="str">
        <f>IF(B47=0,"",VLOOKUP($B47,Materials[],2,FALSE))</f>
        <v/>
      </c>
      <c r="D47" s="266"/>
      <c r="E47" s="266"/>
      <c r="F47" s="134"/>
      <c r="G47" s="140"/>
      <c r="H47" s="139"/>
      <c r="I47" s="103" t="str">
        <f>IF($B47=0,"",VLOOKUP($B47,Materials[],5,FALSE))</f>
        <v/>
      </c>
      <c r="J47" s="104" t="str">
        <f>IF($B47=0,"",VLOOKUP($B47,Materials[],7,FALSE))</f>
        <v/>
      </c>
      <c r="K47" s="83">
        <f t="shared" si="2"/>
        <v>0</v>
      </c>
      <c r="L47" s="95"/>
    </row>
    <row r="48" spans="1:12" hidden="1">
      <c r="B48" s="255"/>
      <c r="C48" s="266" t="str">
        <f>IF(B48=0,"",VLOOKUP($B48,Materials[],2,FALSE))</f>
        <v/>
      </c>
      <c r="D48" s="266"/>
      <c r="E48" s="266"/>
      <c r="F48" s="134"/>
      <c r="G48" s="140"/>
      <c r="H48" s="139"/>
      <c r="I48" s="103" t="str">
        <f>IF($B48=0,"",VLOOKUP($B48,Materials[],5,FALSE))</f>
        <v/>
      </c>
      <c r="J48" s="104" t="str">
        <f>IF($B48=0,"",VLOOKUP($B48,Materials[],7,FALSE))</f>
        <v/>
      </c>
      <c r="K48" s="83">
        <f t="shared" si="2"/>
        <v>0</v>
      </c>
      <c r="L48" s="95"/>
    </row>
    <row r="49" spans="2:12" hidden="1">
      <c r="B49" s="255"/>
      <c r="C49" s="266" t="str">
        <f>IF(B49=0,"",VLOOKUP($B49,Materials[],2,FALSE))</f>
        <v/>
      </c>
      <c r="D49" s="266"/>
      <c r="E49" s="266"/>
      <c r="F49" s="134"/>
      <c r="G49" s="140"/>
      <c r="H49" s="139"/>
      <c r="I49" s="103" t="str">
        <f>IF($B49=0,"",VLOOKUP($B49,Materials[],5,FALSE))</f>
        <v/>
      </c>
      <c r="J49" s="104" t="str">
        <f>IF($B49=0,"",VLOOKUP($B49,Materials[],7,FALSE))</f>
        <v/>
      </c>
      <c r="K49" s="83">
        <f t="shared" si="2"/>
        <v>0</v>
      </c>
      <c r="L49" s="95"/>
    </row>
    <row r="50" spans="2:12" hidden="1">
      <c r="B50" s="255"/>
      <c r="C50" s="266" t="str">
        <f>IF(B50=0,"",VLOOKUP($B50,Materials[],2,FALSE))</f>
        <v/>
      </c>
      <c r="D50" s="266"/>
      <c r="E50" s="266"/>
      <c r="F50" s="134"/>
      <c r="G50" s="140"/>
      <c r="H50" s="139"/>
      <c r="I50" s="103" t="str">
        <f>IF($B50=0,"",VLOOKUP($B50,Materials[],5,FALSE))</f>
        <v/>
      </c>
      <c r="J50" s="104" t="str">
        <f>IF($B50=0,"",VLOOKUP($B50,Materials[],7,FALSE))</f>
        <v/>
      </c>
      <c r="K50" s="83">
        <f t="shared" si="2"/>
        <v>0</v>
      </c>
      <c r="L50" s="96"/>
    </row>
    <row r="51" spans="2:12" hidden="1">
      <c r="B51" s="255"/>
      <c r="C51" s="266" t="str">
        <f>IF(B51=0,"",VLOOKUP($B51,Materials[],2,FALSE))</f>
        <v/>
      </c>
      <c r="D51" s="266"/>
      <c r="E51" s="266"/>
      <c r="F51" s="134"/>
      <c r="G51" s="140"/>
      <c r="H51" s="139"/>
      <c r="I51" s="103" t="str">
        <f>IF($B51=0,"",VLOOKUP($B51,Materials[],5,FALSE))</f>
        <v/>
      </c>
      <c r="J51" s="104" t="str">
        <f>IF($B51=0,"",VLOOKUP($B51,Materials[],7,FALSE))</f>
        <v/>
      </c>
      <c r="K51" s="84">
        <f t="shared" si="2"/>
        <v>0</v>
      </c>
      <c r="L51" s="96"/>
    </row>
    <row r="52" spans="2:12" ht="3.75" customHeight="1" thickBot="1">
      <c r="B52" s="97"/>
      <c r="C52" s="105"/>
      <c r="D52" s="105"/>
      <c r="E52" s="105"/>
      <c r="F52" s="98"/>
      <c r="G52" s="106"/>
      <c r="H52" s="107"/>
      <c r="I52" s="108"/>
      <c r="J52" s="109"/>
      <c r="K52" s="86"/>
      <c r="L52" s="99"/>
    </row>
    <row r="53" spans="2:12" ht="13.5" thickTop="1">
      <c r="C53" s="100" t="s">
        <v>108</v>
      </c>
      <c r="D53" s="100"/>
      <c r="J53" s="83"/>
      <c r="K53" s="83">
        <f>SUM(K32:K51)</f>
        <v>46.3</v>
      </c>
      <c r="L53" s="95"/>
    </row>
    <row r="54" spans="2:12">
      <c r="B54" s="125"/>
    </row>
    <row r="55" spans="2:12">
      <c r="B55" s="90" t="s">
        <v>112</v>
      </c>
      <c r="K55" s="83">
        <f>K28+K53</f>
        <v>106.00999999999999</v>
      </c>
      <c r="L55" s="95"/>
    </row>
    <row r="56" spans="2:12" ht="13.5" thickBot="1">
      <c r="D56" s="110" t="s">
        <v>439</v>
      </c>
      <c r="E56" s="111">
        <f>SUM($E$28:$H$28)+$K$53</f>
        <v>76.78</v>
      </c>
      <c r="F56" s="268" t="s">
        <v>440</v>
      </c>
      <c r="G56" s="268"/>
      <c r="H56" s="112">
        <f>'General Variables'!$B$9</f>
        <v>0.08</v>
      </c>
      <c r="I56" s="113" t="str">
        <f>CONCATENATE("for ",TEXT('General Variables'!$B$10,"0.0")," mo.")</f>
        <v>for 6.0 mo.</v>
      </c>
      <c r="K56" s="114">
        <f>ROUND(E56*H56*'General Variables'!$B$10/12,2)</f>
        <v>3.07</v>
      </c>
      <c r="L56" s="115"/>
    </row>
    <row r="57" spans="2:12" ht="13.5" thickTop="1">
      <c r="B57" s="90" t="s">
        <v>444</v>
      </c>
      <c r="K57" s="83">
        <f>SUM(K55:K56)</f>
        <v>109.07999999999998</v>
      </c>
      <c r="L57" s="95"/>
    </row>
    <row r="59" spans="2:12">
      <c r="B59" s="116" t="s">
        <v>487</v>
      </c>
      <c r="C59" s="117"/>
      <c r="D59" s="117"/>
      <c r="E59" s="117"/>
      <c r="F59" s="117"/>
      <c r="G59" s="117"/>
      <c r="H59" s="117"/>
      <c r="I59" s="117"/>
      <c r="J59" s="117"/>
      <c r="K59" s="118">
        <f>'General Variables'!B12</f>
        <v>5</v>
      </c>
      <c r="L59" s="95"/>
    </row>
    <row r="60" spans="2:12">
      <c r="B60" s="39" t="s">
        <v>447</v>
      </c>
      <c r="C60" s="269" t="s">
        <v>449</v>
      </c>
      <c r="D60" s="270"/>
      <c r="E60" s="271"/>
      <c r="F60" s="119">
        <f>IF(C60=0,0,VLOOKUP(C60,RETable,2,FALSE))</f>
        <v>1850</v>
      </c>
      <c r="G60" s="268" t="s">
        <v>448</v>
      </c>
      <c r="H60" s="268"/>
      <c r="I60" s="112">
        <f>'General Variables'!$B$8</f>
        <v>0.04</v>
      </c>
      <c r="K60" s="120">
        <f>ROUND(F60*I60,2)</f>
        <v>74</v>
      </c>
      <c r="L60" s="95"/>
    </row>
    <row r="61" spans="2:12" ht="13.5" thickBot="1">
      <c r="B61" s="39" t="s">
        <v>458</v>
      </c>
      <c r="F61" s="121">
        <f>IF(C60=0,0,VLOOKUP(C60,RETable,2,FALSE))</f>
        <v>1850</v>
      </c>
      <c r="G61" s="267" t="s">
        <v>448</v>
      </c>
      <c r="H61" s="267"/>
      <c r="I61" s="122">
        <f>'General Variables'!$B$11</f>
        <v>0.01</v>
      </c>
      <c r="J61" s="1"/>
      <c r="K61" s="123">
        <f>ROUND(F61*I61,2)</f>
        <v>18.5</v>
      </c>
      <c r="L61" s="115"/>
    </row>
    <row r="62" spans="2:12" ht="13.5" thickTop="1">
      <c r="B62" s="90" t="s">
        <v>472</v>
      </c>
      <c r="K62" s="83">
        <f>SUM(K57:K61)</f>
        <v>206.57999999999998</v>
      </c>
      <c r="L62" s="95"/>
    </row>
    <row r="64" spans="2:12">
      <c r="B64" s="90" t="str">
        <f>"Cost per "&amp;$B$3</f>
        <v>Cost per cwt</v>
      </c>
      <c r="K64" s="83">
        <f>IF(A3="Yield",0,K62/$A$3)</f>
        <v>9.3899999999999988</v>
      </c>
      <c r="L64" s="95"/>
    </row>
    <row r="65" spans="2:12">
      <c r="B65" s="55" t="str">
        <f>"Cash Cost per "&amp;$B$3</f>
        <v>Cash Cost per cwt</v>
      </c>
      <c r="C65" s="1"/>
      <c r="D65" s="1"/>
      <c r="E65" s="1"/>
      <c r="F65" s="1"/>
      <c r="G65" s="1"/>
      <c r="H65" s="1"/>
      <c r="I65" s="1"/>
      <c r="J65" s="1"/>
      <c r="K65" s="24">
        <f>IF($A$3="Yield",0,(E56+K56+K61)/$A$3)</f>
        <v>4.4704545454545448</v>
      </c>
      <c r="L65" s="126"/>
    </row>
    <row r="75" spans="2:12">
      <c r="B75" s="88"/>
      <c r="C75" s="88"/>
      <c r="D75" s="88"/>
    </row>
    <row r="76" spans="2:12">
      <c r="B76" s="88"/>
      <c r="C76" s="88"/>
      <c r="D76" s="88"/>
    </row>
    <row r="77" spans="2:12">
      <c r="B77" s="88"/>
      <c r="C77" s="88"/>
      <c r="D77" s="88"/>
    </row>
    <row r="78" spans="2:12">
      <c r="B78" s="88"/>
      <c r="C78" s="88"/>
      <c r="D78" s="88"/>
    </row>
    <row r="79" spans="2:12">
      <c r="B79" s="88"/>
      <c r="C79" s="88"/>
      <c r="D79" s="88"/>
    </row>
    <row r="80" spans="2:12">
      <c r="B80" s="88"/>
      <c r="C80" s="88"/>
      <c r="D80" s="88"/>
    </row>
    <row r="81" spans="2:4">
      <c r="B81" s="88"/>
      <c r="C81" s="88"/>
      <c r="D81" s="88"/>
    </row>
    <row r="82" spans="2:4">
      <c r="B82" s="88"/>
      <c r="C82" s="88"/>
      <c r="D82" s="88"/>
    </row>
    <row r="83" spans="2:4">
      <c r="B83" s="88"/>
      <c r="C83" s="88"/>
      <c r="D83" s="88"/>
    </row>
    <row r="84" spans="2:4">
      <c r="B84" s="88"/>
      <c r="C84" s="88"/>
      <c r="D84" s="88"/>
    </row>
    <row r="85" spans="2:4">
      <c r="B85" s="88"/>
      <c r="C85" s="88"/>
      <c r="D85" s="88"/>
    </row>
    <row r="86" spans="2:4">
      <c r="B86" s="88"/>
      <c r="C86" s="88"/>
      <c r="D86" s="88"/>
    </row>
    <row r="87" spans="2:4">
      <c r="B87" s="88"/>
      <c r="C87" s="88"/>
      <c r="D87" s="88"/>
    </row>
    <row r="88" spans="2:4">
      <c r="B88" s="88"/>
      <c r="C88" s="88"/>
      <c r="D88" s="88"/>
    </row>
    <row r="89" spans="2:4">
      <c r="B89" s="88"/>
      <c r="C89" s="88"/>
      <c r="D89" s="88"/>
    </row>
    <row r="90" spans="2:4">
      <c r="B90" s="88"/>
      <c r="C90" s="88"/>
      <c r="D90" s="88"/>
    </row>
    <row r="91" spans="2:4">
      <c r="B91" s="88"/>
      <c r="C91" s="88"/>
      <c r="D91" s="88"/>
    </row>
    <row r="92" spans="2:4">
      <c r="B92" s="88"/>
      <c r="C92" s="88"/>
      <c r="D92" s="88"/>
    </row>
    <row r="93" spans="2:4">
      <c r="B93" s="88"/>
      <c r="C93" s="88"/>
      <c r="D93" s="88"/>
    </row>
    <row r="94" spans="2:4">
      <c r="B94" s="88"/>
      <c r="C94" s="88"/>
      <c r="D94" s="88"/>
    </row>
    <row r="95" spans="2:4">
      <c r="B95" s="88"/>
      <c r="C95" s="88"/>
      <c r="D95" s="88"/>
    </row>
    <row r="96" spans="2:4">
      <c r="B96" s="88"/>
      <c r="C96" s="88"/>
      <c r="D96" s="88"/>
    </row>
    <row r="97" spans="2:6">
      <c r="B97" s="88"/>
      <c r="C97" s="88"/>
      <c r="D97" s="88"/>
    </row>
    <row r="98" spans="2:6">
      <c r="B98" s="88"/>
      <c r="C98" s="88"/>
      <c r="D98" s="88"/>
    </row>
    <row r="99" spans="2:6">
      <c r="B99" s="88"/>
      <c r="C99" s="88"/>
      <c r="D99" s="88"/>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11.xml><?xml version="1.0" encoding="utf-8"?>
<worksheet xmlns="http://schemas.openxmlformats.org/spreadsheetml/2006/main" xmlns:r="http://schemas.openxmlformats.org/officeDocument/2006/relationships">
  <sheetPr codeName="Sheet36">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7" t="s">
        <v>534</v>
      </c>
      <c r="B1" s="89"/>
      <c r="C1" s="87"/>
      <c r="D1" s="87"/>
      <c r="E1" s="89"/>
      <c r="F1" s="87"/>
      <c r="G1" s="87"/>
      <c r="H1" s="129" t="s">
        <v>114</v>
      </c>
      <c r="I1" s="89"/>
      <c r="J1" s="90"/>
      <c r="K1" s="100" t="str">
        <f>'General Variables'!A1&amp;" "&amp;'General Variables'!B1</f>
        <v>Year 2011</v>
      </c>
      <c r="O1" s="88" t="s">
        <v>528</v>
      </c>
    </row>
    <row r="2" spans="1:15">
      <c r="A2" s="127" t="s">
        <v>117</v>
      </c>
      <c r="B2" s="89"/>
      <c r="C2" s="87"/>
      <c r="D2" s="87"/>
      <c r="E2" s="89"/>
      <c r="F2" s="87"/>
      <c r="G2" s="87"/>
      <c r="H2" s="132" t="s">
        <v>431</v>
      </c>
      <c r="I2" s="252" t="str">
        <f>IF(H2="","","acre-inches")</f>
        <v/>
      </c>
      <c r="J2" s="90"/>
      <c r="K2" s="90"/>
      <c r="O2" s="88" t="s">
        <v>527</v>
      </c>
    </row>
    <row r="3" spans="1:15">
      <c r="A3" s="127">
        <v>3.3</v>
      </c>
      <c r="B3" s="127" t="s">
        <v>76</v>
      </c>
      <c r="C3" s="87"/>
      <c r="D3" s="87"/>
      <c r="E3" s="89"/>
      <c r="F3" s="89"/>
      <c r="G3" s="89"/>
      <c r="H3" s="89"/>
      <c r="I3" s="89"/>
      <c r="J3" s="90"/>
      <c r="K3" s="90"/>
      <c r="O3" s="88" t="str">
        <f>B3</f>
        <v>ton</v>
      </c>
    </row>
    <row r="5" spans="1:15" s="90" customFormat="1" ht="22.5" customHeight="1">
      <c r="B5" s="260" t="s">
        <v>92</v>
      </c>
      <c r="C5" s="262" t="s">
        <v>1</v>
      </c>
      <c r="D5" s="91"/>
      <c r="E5" s="262" t="str">
        <f>"Labor @ $" &amp;TEXT('General Variables'!B2,"#.00")&amp; " /Hr"</f>
        <v>Labor @ $12.00 /Hr</v>
      </c>
      <c r="F5" s="262" t="str">
        <f>"Fuel @ $" &amp; TEXT('General Variables'!B3,"#.00") &amp; " and Lube"</f>
        <v>Fuel @ $3.00 and Lube</v>
      </c>
      <c r="G5" s="264" t="s">
        <v>93</v>
      </c>
      <c r="H5" s="264"/>
      <c r="I5" s="264" t="s">
        <v>416</v>
      </c>
      <c r="J5" s="264"/>
      <c r="K5" s="264" t="s">
        <v>2</v>
      </c>
      <c r="L5" s="262" t="s">
        <v>438</v>
      </c>
    </row>
    <row r="6" spans="1:15" s="90" customFormat="1" ht="17.25" customHeight="1" thickBot="1">
      <c r="B6" s="261"/>
      <c r="C6" s="263"/>
      <c r="D6" s="92" t="s">
        <v>89</v>
      </c>
      <c r="E6" s="263"/>
      <c r="F6" s="263"/>
      <c r="G6" s="93" t="s">
        <v>94</v>
      </c>
      <c r="H6" s="93" t="s">
        <v>96</v>
      </c>
      <c r="I6" s="93" t="s">
        <v>94</v>
      </c>
      <c r="J6" s="93" t="s">
        <v>96</v>
      </c>
      <c r="K6" s="265"/>
      <c r="L6" s="263"/>
    </row>
    <row r="7" spans="1:15" ht="13.5" thickTop="1">
      <c r="A7" s="94">
        <v>1</v>
      </c>
      <c r="B7" s="255" t="s">
        <v>317</v>
      </c>
      <c r="C7" s="134">
        <v>1</v>
      </c>
      <c r="D7" s="256"/>
      <c r="E7" s="84">
        <f>IF(B7=0,"",IF(C7&gt;9999,"",ROUND('General Variables'!$B$2*VLOOKUP(B7,Operations[],10,FALSE)/VLOOKUP(B7,Operations[],9,FALSE)*C7,2)))</f>
        <v>1.21</v>
      </c>
      <c r="F7" s="84">
        <f>IF(B7=0,0,IF(C7&gt;9999,"",ROUND(IF(VLOOKUP(B7,Operations[],12,FALSE)=0,VLOOKUP(B7,Operations[],13,FALSE)*'General Variables'!$B$6,VLOOKUP(B7,Operations[],12,FALSE)*'General Variables'!$B$5)/VLOOKUP(B7,Operations[],9,FALSE)*C7,2)))</f>
        <v>2.62</v>
      </c>
      <c r="G7" s="84">
        <f>IF(B7=0,0,IF(C7&gt;9999,"",ROUND(VLOOKUP(VLOOKUP(B7,Operations[],11,FALSE),PowerUnits[],10,FALSE)/VLOOKUP(B7,Operations[],9,FALSE)*C7,2)))</f>
        <v>0.13</v>
      </c>
      <c r="H7" s="84">
        <f>IF(B7=0,"",IF(C7&gt;9999,"",ROUND(VLOOKUP($B7,Operations[],15,FALSE)*C7,2)))</f>
        <v>1.29</v>
      </c>
      <c r="I7" s="84">
        <f>IF(B7=0,0,IF(C7&gt;9999,"",ROUND(VLOOKUP(VLOOKUP(B7,Operations[],11,FALSE),PowerUnits[],16,FALSE)/VLOOKUP(B7,Operations[],9,FALSE)*C7,2)))</f>
        <v>2.78</v>
      </c>
      <c r="J7" s="84">
        <f>IF(B7=0,"",IF(C7&gt;9999,"",ROUND(VLOOKUP($B7,Operations[],21,FALSE)*$C7,2)))</f>
        <v>1.26</v>
      </c>
      <c r="K7" s="84">
        <f>IF(C7&gt;9999,"",ROUND(SUM(E7:J7),2))</f>
        <v>9.2899999999999991</v>
      </c>
      <c r="L7" s="95"/>
    </row>
    <row r="8" spans="1:15">
      <c r="A8" s="94">
        <v>2</v>
      </c>
      <c r="B8" s="255" t="s">
        <v>348</v>
      </c>
      <c r="C8" s="134">
        <v>1</v>
      </c>
      <c r="D8" s="256"/>
      <c r="E8" s="84">
        <f>IF(B8=0,"",IF(C8&gt;9999,"",ROUND('General Variables'!$B$2*VLOOKUP(B8,Operations[],10,FALSE)/VLOOKUP(B8,Operations[],9,FALSE)*C8,2)))</f>
        <v>0.98</v>
      </c>
      <c r="F8" s="84">
        <f>IF(B8=0,0,IF(C8&gt;9999,"",ROUND(IF(VLOOKUP(B8,Operations[],12,FALSE)=0,VLOOKUP(B8,Operations[],13,FALSE)*'General Variables'!$B$6,VLOOKUP(B8,Operations[],12,FALSE)*'General Variables'!$B$5)/VLOOKUP(B8,Operations[],9,FALSE)*C8,2)))</f>
        <v>0.43</v>
      </c>
      <c r="G8" s="84">
        <f>IF(B8=0,0,IF(C8&gt;9999,"",ROUND(VLOOKUP(VLOOKUP(B8,Operations[],11,FALSE),PowerUnits[],10,FALSE)/VLOOKUP(B8,Operations[],9,FALSE)*C8,2)))</f>
        <v>0.1</v>
      </c>
      <c r="H8" s="84">
        <f>IF(B8=0,"",IF(C8&gt;9999,"",ROUND(VLOOKUP($B8,Operations[],15,FALSE)*C8,2)))</f>
        <v>0.28999999999999998</v>
      </c>
      <c r="I8" s="84">
        <f>IF(B8=0,0,IF(C8&gt;9999,"",ROUND(VLOOKUP(VLOOKUP(B8,Operations[],11,FALSE),PowerUnits[],16,FALSE)/VLOOKUP(B8,Operations[],9,FALSE)*C8,2)))</f>
        <v>2.25</v>
      </c>
      <c r="J8" s="84">
        <f>IF(B8=0,"",IF(C8&gt;9999,"",ROUND(VLOOKUP($B8,Operations[],21,FALSE)*$C8,2)))</f>
        <v>1.26</v>
      </c>
      <c r="K8" s="84">
        <f t="shared" ref="K8:K26" si="0">IF(C8&gt;9999,"",ROUND(SUM(E8:J8),2))</f>
        <v>5.31</v>
      </c>
      <c r="L8" s="95"/>
    </row>
    <row r="9" spans="1:15">
      <c r="A9" s="94">
        <v>3</v>
      </c>
      <c r="B9" s="255" t="s">
        <v>323</v>
      </c>
      <c r="C9" s="134">
        <v>1</v>
      </c>
      <c r="D9" s="256"/>
      <c r="E9" s="84">
        <f>IF(B9=0,"",IF(C9&gt;9999,"",ROUND('General Variables'!$B$2*VLOOKUP(B9,Operations[],10,FALSE)/VLOOKUP(B9,Operations[],9,FALSE)*C9,2)))</f>
        <v>0.62</v>
      </c>
      <c r="F9" s="84">
        <f>IF(B9=0,0,IF(C9&gt;9999,"",ROUND(IF(VLOOKUP(B9,Operations[],12,FALSE)=0,VLOOKUP(B9,Operations[],13,FALSE)*'General Variables'!$B$6,VLOOKUP(B9,Operations[],12,FALSE)*'General Variables'!$B$5)/VLOOKUP(B9,Operations[],9,FALSE)*C9,2)))</f>
        <v>1.33</v>
      </c>
      <c r="G9" s="84">
        <f>IF(B9=0,0,IF(C9&gt;9999,"",ROUND(VLOOKUP(VLOOKUP(B9,Operations[],11,FALSE),PowerUnits[],10,FALSE)/VLOOKUP(B9,Operations[],9,FALSE)*C9,2)))</f>
        <v>7.0000000000000007E-2</v>
      </c>
      <c r="H9" s="84">
        <f>IF(B9=0,"",IF(C9&gt;9999,"",ROUND(VLOOKUP($B9,Operations[],15,FALSE)*C9,2)))</f>
        <v>0.41</v>
      </c>
      <c r="I9" s="84">
        <f>IF(B9=0,0,IF(C9&gt;9999,"",ROUND(VLOOKUP(VLOOKUP(B9,Operations[],11,FALSE),PowerUnits[],16,FALSE)/VLOOKUP(B9,Operations[],9,FALSE)*C9,2)))</f>
        <v>1.43</v>
      </c>
      <c r="J9" s="84">
        <f>IF(B9=0,"",IF(C9&gt;9999,"",ROUND(VLOOKUP($B9,Operations[],21,FALSE)*$C9,2)))</f>
        <v>0.83</v>
      </c>
      <c r="K9" s="84">
        <f t="shared" si="0"/>
        <v>4.6900000000000004</v>
      </c>
      <c r="L9" s="95"/>
    </row>
    <row r="10" spans="1:15">
      <c r="A10" s="94">
        <v>4</v>
      </c>
      <c r="B10" s="255" t="s">
        <v>320</v>
      </c>
      <c r="C10" s="134">
        <v>1</v>
      </c>
      <c r="D10" s="256"/>
      <c r="E10" s="84">
        <f>IF(B10=0,"",IF(C10&gt;9999,"",ROUND('General Variables'!$B$2*VLOOKUP(B10,Operations[],10,FALSE)/VLOOKUP(B10,Operations[],9,FALSE)*C10,2)))</f>
        <v>1.8</v>
      </c>
      <c r="F10" s="84">
        <f>IF(B10=0,0,IF(C10&gt;9999,"",ROUND(IF(VLOOKUP(B10,Operations[],12,FALSE)=0,VLOOKUP(B10,Operations[],13,FALSE)*'General Variables'!$B$6,VLOOKUP(B10,Operations[],12,FALSE)*'General Variables'!$B$5)/VLOOKUP(B10,Operations[],9,FALSE)*C10,2)))</f>
        <v>2.35</v>
      </c>
      <c r="G10" s="84">
        <f>IF(B10=0,0,IF(C10&gt;9999,"",ROUND(VLOOKUP(VLOOKUP(B10,Operations[],11,FALSE),PowerUnits[],10,FALSE)/VLOOKUP(B10,Operations[],9,FALSE)*C10,2)))</f>
        <v>0.34</v>
      </c>
      <c r="H10" s="84">
        <f>IF(B10=0,"",IF(C10&gt;9999,"",ROUND(VLOOKUP($B10,Operations[],15,FALSE)*C10,2)))</f>
        <v>1.8</v>
      </c>
      <c r="I10" s="84">
        <f>IF(B10=0,0,IF(C10&gt;9999,"",ROUND(VLOOKUP(VLOOKUP(B10,Operations[],11,FALSE),PowerUnits[],16,FALSE)/VLOOKUP(B10,Operations[],9,FALSE)*C10,2)))</f>
        <v>1.86</v>
      </c>
      <c r="J10" s="84">
        <f>IF(B10=0,"",IF(C10&gt;9999,"",ROUND(VLOOKUP($B10,Operations[],21,FALSE)*$C10,2)))</f>
        <v>1.44</v>
      </c>
      <c r="K10" s="84">
        <f t="shared" si="0"/>
        <v>9.59</v>
      </c>
      <c r="L10" s="95"/>
    </row>
    <row r="11" spans="1:15">
      <c r="A11" s="94">
        <v>5</v>
      </c>
      <c r="B11" s="255" t="s">
        <v>353</v>
      </c>
      <c r="C11" s="134">
        <v>1</v>
      </c>
      <c r="D11" s="256"/>
      <c r="E11" s="84">
        <f>IF(B11=0,"",IF(C11&gt;9999,"",ROUND('General Variables'!$B$2*VLOOKUP(B11,Operations[],10,FALSE)/VLOOKUP(B11,Operations[],9,FALSE)*C11,2)))</f>
        <v>1.49</v>
      </c>
      <c r="F11" s="84">
        <f>IF(B11=0,0,IF(C11&gt;9999,"",ROUND(IF(VLOOKUP(B11,Operations[],12,FALSE)=0,VLOOKUP(B11,Operations[],13,FALSE)*'General Variables'!$B$6,VLOOKUP(B11,Operations[],12,FALSE)*'General Variables'!$B$5)/VLOOKUP(B11,Operations[],9,FALSE)*C11,2)))</f>
        <v>2.14</v>
      </c>
      <c r="G11" s="84">
        <f>IF(B11=0,0,IF(C11&gt;9999,"",ROUND(VLOOKUP(VLOOKUP(B11,Operations[],11,FALSE),PowerUnits[],10,FALSE)/VLOOKUP(B11,Operations[],9,FALSE)*C11,2)))</f>
        <v>2.14</v>
      </c>
      <c r="H11" s="84">
        <f>IF(B11=0,"",IF(C11&gt;9999,"",ROUND(VLOOKUP($B11,Operations[],15,FALSE)*C11,2)))</f>
        <v>0</v>
      </c>
      <c r="I11" s="84">
        <f>IF(B11=0,0,IF(C11&gt;9999,"",ROUND(VLOOKUP(VLOOKUP(B11,Operations[],11,FALSE),PowerUnits[],16,FALSE)/VLOOKUP(B11,Operations[],9,FALSE)*C11,2)))</f>
        <v>1.55</v>
      </c>
      <c r="J11" s="84">
        <f>IF(B11=0,"",IF(C11&gt;9999,"",ROUND(VLOOKUP($B11,Operations[],21,FALSE)*$C11,2)))</f>
        <v>0</v>
      </c>
      <c r="K11" s="84">
        <f t="shared" si="0"/>
        <v>7.32</v>
      </c>
      <c r="L11" s="95"/>
    </row>
    <row r="12" spans="1:15">
      <c r="A12" s="94">
        <v>6</v>
      </c>
      <c r="B12" s="255" t="s">
        <v>327</v>
      </c>
      <c r="C12" s="133">
        <f>A3</f>
        <v>3.3</v>
      </c>
      <c r="D12" s="256" t="s">
        <v>76</v>
      </c>
      <c r="E12" s="84">
        <f>IF(B12=0,"",IF(C12&gt;9999,"",ROUND('General Variables'!$B$2*VLOOKUP(B12,Operations[],10,FALSE)/VLOOKUP(B12,Operations[],9,FALSE)*C12,2)))</f>
        <v>3.27</v>
      </c>
      <c r="F12" s="84">
        <f>IF(B12=0,0,IF(C12&gt;9999,"",ROUND(IF(VLOOKUP(B12,Operations[],12,FALSE)=0,VLOOKUP(B12,Operations[],13,FALSE)*'General Variables'!$B$6,VLOOKUP(B12,Operations[],12,FALSE)*'General Variables'!$B$5)/VLOOKUP(B12,Operations[],9,FALSE)*C12,2)))</f>
        <v>2.46</v>
      </c>
      <c r="G12" s="84">
        <f>IF(B12=0,0,IF(C12&gt;9999,"",ROUND(VLOOKUP(VLOOKUP(B12,Operations[],11,FALSE),PowerUnits[],10,FALSE)/VLOOKUP(B12,Operations[],9,FALSE)*C12,2)))</f>
        <v>0.61</v>
      </c>
      <c r="H12" s="84">
        <f>IF(B12=0,"",IF(C12&gt;9999,"",ROUND(VLOOKUP($B12,Operations[],15,FALSE)*C12,2)))</f>
        <v>3.23</v>
      </c>
      <c r="I12" s="84">
        <f>IF(B12=0,0,IF(C12&gt;9999,"",ROUND(VLOOKUP(VLOOKUP(B12,Operations[],11,FALSE),PowerUnits[],16,FALSE)/VLOOKUP(B12,Operations[],9,FALSE)*C12,2)))</f>
        <v>3.39</v>
      </c>
      <c r="J12" s="84">
        <f>IF(B12=0,"",IF(C12&gt;9999,"",ROUND(VLOOKUP($B12,Operations[],21,FALSE)*$C12,2)))</f>
        <v>3.78</v>
      </c>
      <c r="K12" s="84">
        <f t="shared" ref="K12:K13" si="1">IF(C12&gt;9999,"",ROUND(SUM(E12:J12),2))</f>
        <v>16.739999999999998</v>
      </c>
      <c r="L12" s="95"/>
    </row>
    <row r="13" spans="1:15">
      <c r="A13" s="94">
        <v>7</v>
      </c>
      <c r="B13" s="255" t="s">
        <v>332</v>
      </c>
      <c r="C13" s="133">
        <f>A3</f>
        <v>3.3</v>
      </c>
      <c r="D13" s="256" t="s">
        <v>76</v>
      </c>
      <c r="E13" s="84">
        <f>IF(B13=0,"",IF(C13&gt;9999,"",ROUND('General Variables'!$B$2*VLOOKUP(B13,Operations[],10,FALSE)/VLOOKUP(B13,Operations[],9,FALSE)*C13,2)))</f>
        <v>3.6</v>
      </c>
      <c r="F13" s="84">
        <f>IF(B13=0,0,IF(C13&gt;9999,"",ROUND(IF(VLOOKUP(B13,Operations[],12,FALSE)=0,VLOOKUP(B13,Operations[],13,FALSE)*'General Variables'!$B$6,VLOOKUP(B13,Operations[],12,FALSE)*'General Variables'!$B$5)/VLOOKUP(B13,Operations[],9,FALSE)*C13,2)))</f>
        <v>3.74</v>
      </c>
      <c r="G13" s="84">
        <f>IF(B13=0,0,IF(C13&gt;9999,"",ROUND(VLOOKUP(VLOOKUP(B13,Operations[],11,FALSE),PowerUnits[],10,FALSE)/VLOOKUP(B13,Operations[],9,FALSE)*C13,2)))</f>
        <v>0.67</v>
      </c>
      <c r="H13" s="84">
        <f>IF(B13=0,"",IF(C13&gt;9999,"",ROUND(VLOOKUP($B13,Operations[],15,FALSE)*C13,2)))</f>
        <v>0</v>
      </c>
      <c r="I13" s="84">
        <f>IF(B13=0,0,IF(C13&gt;9999,"",ROUND(VLOOKUP(VLOOKUP(B13,Operations[],11,FALSE),PowerUnits[],16,FALSE)/VLOOKUP(B13,Operations[],9,FALSE)*C13,2)))</f>
        <v>3.73</v>
      </c>
      <c r="J13" s="84">
        <f>IF(B13=0,"",IF(C13&gt;9999,"",ROUND(VLOOKUP($B13,Operations[],21,FALSE)*$C13,2)))</f>
        <v>1.45</v>
      </c>
      <c r="K13" s="84">
        <f t="shared" si="1"/>
        <v>13.19</v>
      </c>
      <c r="L13" s="95"/>
    </row>
    <row r="14" spans="1:15" hidden="1">
      <c r="A14" s="94">
        <v>8</v>
      </c>
      <c r="B14" s="254"/>
      <c r="C14" s="133"/>
      <c r="D14" s="256"/>
      <c r="E14" s="84" t="str">
        <f>IF(B14=0,"",IF(C14&gt;9999,"",ROUND('General Variables'!$B$2*VLOOKUP(B14,Operations[],10,FALSE)/VLOOKUP(B14,Operations[],9,FALSE)*C14,2)))</f>
        <v/>
      </c>
      <c r="F14" s="84">
        <f>IF(B14=0,0,IF(C14&gt;9999,"",ROUND(IF(VLOOKUP(B14,Operations[],12,FALSE)=0,VLOOKUP(B14,Operations[],13,FALSE)*'General Variables'!$B$6,VLOOKUP(B14,Operations[],12,FALSE)*'General Variables'!$B$5)/VLOOKUP(B14,Operations[],9,FALSE)*C14,2)))</f>
        <v>0</v>
      </c>
      <c r="G14" s="84">
        <f>IF(B14=0,0,IF(C14&gt;9999,"",ROUND(VLOOKUP(VLOOKUP(B14,Operations[],11,FALSE),PowerUnits[],10,FALSE)/VLOOKUP(B14,Operations[],9,FALSE)*C14,2)))</f>
        <v>0</v>
      </c>
      <c r="H14" s="84" t="str">
        <f>IF(B14=0,"",IF(C14&gt;9999,"",ROUND(VLOOKUP($B14,Operations[],15,FALSE)*C14,2)))</f>
        <v/>
      </c>
      <c r="I14" s="84">
        <f>IF(B14=0,0,IF(C14&gt;9999,"",ROUND(VLOOKUP(VLOOKUP(B14,Operations[],11,FALSE),PowerUnits[],16,FALSE)/VLOOKUP(B14,Operations[],9,FALSE)*C14,2)))</f>
        <v>0</v>
      </c>
      <c r="J14" s="84" t="str">
        <f>IF(B14=0,"",IF(C14&gt;9999,"",ROUND(VLOOKUP($B14,Operations[],21,FALSE)*$C14,2)))</f>
        <v/>
      </c>
      <c r="K14" s="84">
        <f t="shared" si="0"/>
        <v>0</v>
      </c>
      <c r="L14" s="95"/>
    </row>
    <row r="15" spans="1:15" hidden="1">
      <c r="A15" s="94">
        <v>9</v>
      </c>
      <c r="B15" s="254"/>
      <c r="C15" s="133"/>
      <c r="D15" s="257"/>
      <c r="E15" s="84" t="str">
        <f>IF(B15=0,"",IF(C15&gt;9999,"",ROUND('General Variables'!$B$2*VLOOKUP(B15,Operations[],10,FALSE)/VLOOKUP(B15,Operations[],9,FALSE)*C15,2)))</f>
        <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t="str">
        <f>IF(B15=0,"",IF(C15&gt;9999,"",ROUND(VLOOKUP($B15,Operations[],15,FALSE)*C15,2)))</f>
        <v/>
      </c>
      <c r="I15" s="84">
        <f>IF(B15=0,0,IF(C15&gt;9999,"",ROUND(VLOOKUP(VLOOKUP(B15,Operations[],11,FALSE),PowerUnits[],16,FALSE)/VLOOKUP(B15,Operations[],9,FALSE)*C15,2)))</f>
        <v>0</v>
      </c>
      <c r="J15" s="84" t="str">
        <f>IF(B15=0,"",IF(C15&gt;9999,"",ROUND(VLOOKUP($B15,Operations[],21,FALSE)*$C15,2)))</f>
        <v/>
      </c>
      <c r="K15" s="84">
        <f t="shared" si="0"/>
        <v>0</v>
      </c>
      <c r="L15" s="95"/>
    </row>
    <row r="16" spans="1:15" hidden="1">
      <c r="A16" s="94">
        <v>10</v>
      </c>
      <c r="B16" s="254"/>
      <c r="C16" s="133"/>
      <c r="D16" s="257"/>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5"/>
    </row>
    <row r="17" spans="1:12" hidden="1">
      <c r="A17" s="94">
        <v>11</v>
      </c>
      <c r="B17" s="254"/>
      <c r="C17" s="133"/>
      <c r="D17" s="257"/>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5"/>
    </row>
    <row r="18" spans="1:12" hidden="1">
      <c r="A18" s="94">
        <v>12</v>
      </c>
      <c r="B18" s="254"/>
      <c r="C18" s="133"/>
      <c r="D18" s="257"/>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5"/>
    </row>
    <row r="19" spans="1:12" hidden="1">
      <c r="A19" s="94">
        <v>13</v>
      </c>
      <c r="B19" s="254"/>
      <c r="C19" s="133"/>
      <c r="D19" s="257"/>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5"/>
    </row>
    <row r="20" spans="1:12" hidden="1">
      <c r="A20" s="94">
        <v>14</v>
      </c>
      <c r="B20" s="255"/>
      <c r="C20" s="134"/>
      <c r="D20" s="257"/>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5"/>
    </row>
    <row r="21" spans="1:12" hidden="1">
      <c r="A21" s="94">
        <v>15</v>
      </c>
      <c r="B21" s="255"/>
      <c r="C21" s="134"/>
      <c r="D21" s="257"/>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5"/>
    </row>
    <row r="22" spans="1:12" hidden="1">
      <c r="A22" s="94">
        <v>16</v>
      </c>
      <c r="B22" s="255"/>
      <c r="C22" s="134"/>
      <c r="D22" s="257"/>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5"/>
    </row>
    <row r="23" spans="1:12" hidden="1">
      <c r="A23" s="94">
        <v>17</v>
      </c>
      <c r="B23" s="255"/>
      <c r="C23" s="134"/>
      <c r="D23" s="257"/>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5"/>
    </row>
    <row r="24" spans="1:12" hidden="1">
      <c r="A24" s="94">
        <v>18</v>
      </c>
      <c r="B24" s="255"/>
      <c r="C24" s="134"/>
      <c r="D24" s="257"/>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5"/>
    </row>
    <row r="25" spans="1:12" hidden="1">
      <c r="A25" s="94">
        <v>19</v>
      </c>
      <c r="B25" s="255"/>
      <c r="C25" s="134"/>
      <c r="D25" s="257"/>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6"/>
    </row>
    <row r="26" spans="1:12" hidden="1">
      <c r="A26" s="94">
        <v>20</v>
      </c>
      <c r="B26" s="255"/>
      <c r="C26" s="134"/>
      <c r="D26" s="257"/>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7"/>
    </row>
    <row r="27" spans="1:12" ht="3" customHeight="1" thickBot="1">
      <c r="A27" s="94"/>
      <c r="B27" s="97"/>
      <c r="C27" s="98"/>
      <c r="D27" s="98"/>
      <c r="E27" s="86"/>
      <c r="F27" s="86"/>
      <c r="G27" s="86"/>
      <c r="H27" s="86"/>
      <c r="I27" s="86"/>
      <c r="J27" s="86"/>
      <c r="K27" s="86"/>
      <c r="L27" s="99"/>
    </row>
    <row r="28" spans="1:12" ht="13.5" thickTop="1">
      <c r="C28" s="100" t="s">
        <v>95</v>
      </c>
      <c r="D28" s="100"/>
      <c r="E28" s="83">
        <f>SUM(E7:E26)</f>
        <v>12.97</v>
      </c>
      <c r="F28" s="83">
        <f t="shared" ref="F28:K28" si="2">SUM(F7:F26)</f>
        <v>15.070000000000002</v>
      </c>
      <c r="G28" s="83">
        <f t="shared" si="2"/>
        <v>4.0600000000000005</v>
      </c>
      <c r="H28" s="83">
        <f t="shared" si="2"/>
        <v>7.02</v>
      </c>
      <c r="I28" s="83">
        <f t="shared" si="2"/>
        <v>16.989999999999998</v>
      </c>
      <c r="J28" s="83">
        <f t="shared" si="2"/>
        <v>10.02</v>
      </c>
      <c r="K28" s="83">
        <f t="shared" si="2"/>
        <v>66.13</v>
      </c>
      <c r="L28" s="95"/>
    </row>
    <row r="30" spans="1:12" ht="24" customHeight="1" thickBot="1">
      <c r="B30" s="87"/>
      <c r="C30" s="87"/>
      <c r="D30" s="87"/>
      <c r="E30" s="87"/>
      <c r="F30" s="263" t="s">
        <v>109</v>
      </c>
      <c r="G30" s="263" t="s">
        <v>106</v>
      </c>
      <c r="H30" s="262" t="s">
        <v>110</v>
      </c>
      <c r="I30" s="262"/>
      <c r="J30" s="263" t="s">
        <v>81</v>
      </c>
      <c r="L30" s="262" t="s">
        <v>438</v>
      </c>
    </row>
    <row r="31" spans="1:12" s="101" customFormat="1" ht="14.25" thickTop="1" thickBot="1">
      <c r="B31" s="102" t="s">
        <v>105</v>
      </c>
      <c r="C31" s="92"/>
      <c r="D31" s="92"/>
      <c r="E31" s="92"/>
      <c r="F31" s="263"/>
      <c r="G31" s="263"/>
      <c r="H31" s="92" t="s">
        <v>111</v>
      </c>
      <c r="I31" s="92" t="s">
        <v>89</v>
      </c>
      <c r="J31" s="263"/>
      <c r="K31" s="92" t="s">
        <v>107</v>
      </c>
      <c r="L31" s="263"/>
    </row>
    <row r="32" spans="1:12" ht="13.5" thickTop="1">
      <c r="A32" s="1"/>
      <c r="B32" s="255" t="s">
        <v>14</v>
      </c>
      <c r="C32" s="266" t="str">
        <f>IF(B32=0,"",VLOOKUP($B32,Materials[],2,FALSE))</f>
        <v>Fertilizer</v>
      </c>
      <c r="D32" s="266"/>
      <c r="E32" s="266"/>
      <c r="F32" s="134">
        <v>2</v>
      </c>
      <c r="G32" s="140">
        <v>1</v>
      </c>
      <c r="H32" s="139">
        <v>40</v>
      </c>
      <c r="I32" s="103" t="str">
        <f>IF($B32=0,"",VLOOKUP($B32,Materials[],5,FALSE))</f>
        <v>lbs N</v>
      </c>
      <c r="J32" s="104">
        <f>IF($B32=0,"",VLOOKUP($B32,Materials[],7,FALSE))</f>
        <v>0.70000000000000007</v>
      </c>
      <c r="K32" s="83">
        <f>IF(B32=0,0,ROUND(G32*H32*J32,2))</f>
        <v>28</v>
      </c>
      <c r="L32" s="95"/>
    </row>
    <row r="33" spans="1:12">
      <c r="A33" s="1"/>
      <c r="B33" s="255" t="s">
        <v>64</v>
      </c>
      <c r="C33" s="266" t="str">
        <f>IF(B33=0,"",VLOOKUP($B33,Materials[],2,FALSE))</f>
        <v>Seed</v>
      </c>
      <c r="D33" s="266"/>
      <c r="E33" s="266"/>
      <c r="F33" s="134">
        <v>4</v>
      </c>
      <c r="G33" s="140">
        <v>1</v>
      </c>
      <c r="H33" s="139">
        <v>10</v>
      </c>
      <c r="I33" s="103" t="str">
        <f>IF($B33=0,"",VLOOKUP($B33,Materials[],5,FALSE))</f>
        <v>pound</v>
      </c>
      <c r="J33" s="104">
        <f>IF($B33=0,"",VLOOKUP($B33,Materials[],7,FALSE))</f>
        <v>0.65</v>
      </c>
      <c r="K33" s="83">
        <f t="shared" ref="K33:K51" si="3">IF(B33=0,0,ROUND(G33*H33*J33,2))</f>
        <v>6.5</v>
      </c>
      <c r="L33" s="95"/>
    </row>
    <row r="34" spans="1:12">
      <c r="A34" s="1"/>
      <c r="B34" s="255" t="s">
        <v>70</v>
      </c>
      <c r="C34" s="266" t="str">
        <f>IF(B34=0,"",VLOOKUP($B34,Materials[],2,FALSE))</f>
        <v>Other</v>
      </c>
      <c r="D34" s="266"/>
      <c r="E34" s="266"/>
      <c r="F34" s="134">
        <v>6</v>
      </c>
      <c r="G34" s="140">
        <v>1</v>
      </c>
      <c r="H34" s="139">
        <f>A3</f>
        <v>3.3</v>
      </c>
      <c r="I34" s="103" t="str">
        <f>IF($B34=0,"",VLOOKUP($B34,Materials[],5,FALSE))</f>
        <v>ton</v>
      </c>
      <c r="J34" s="104">
        <f>IF($B34=0,"",VLOOKUP($B34,Materials[],7,FALSE))</f>
        <v>0.98879367172050103</v>
      </c>
      <c r="K34" s="83">
        <f t="shared" si="3"/>
        <v>3.26</v>
      </c>
      <c r="L34" s="95"/>
    </row>
    <row r="35" spans="1:12" hidden="1">
      <c r="A35" s="1"/>
      <c r="B35" s="254"/>
      <c r="C35" s="266" t="str">
        <f>IF(B35=0,"",VLOOKUP($B35,Materials[],2,FALSE))</f>
        <v/>
      </c>
      <c r="D35" s="266"/>
      <c r="E35" s="266"/>
      <c r="F35" s="133"/>
      <c r="G35" s="136"/>
      <c r="H35" s="137"/>
      <c r="I35" s="103" t="str">
        <f>IF($B35=0,"",VLOOKUP($B35,Materials[],5,FALSE))</f>
        <v/>
      </c>
      <c r="J35" s="104" t="str">
        <f>IF($B35=0,"",VLOOKUP($B35,Materials[],7,FALSE))</f>
        <v/>
      </c>
      <c r="K35" s="83">
        <f t="shared" si="3"/>
        <v>0</v>
      </c>
      <c r="L35" s="95"/>
    </row>
    <row r="36" spans="1:12" hidden="1">
      <c r="A36" s="1"/>
      <c r="B36" s="254"/>
      <c r="C36" s="266" t="str">
        <f>IF(B36=0,"",VLOOKUP($B36,Materials[],2,FALSE))</f>
        <v/>
      </c>
      <c r="D36" s="266"/>
      <c r="E36" s="266"/>
      <c r="F36" s="133"/>
      <c r="G36" s="136"/>
      <c r="H36" s="138"/>
      <c r="I36" s="103" t="str">
        <f>IF($B36=0,"",VLOOKUP($B36,Materials[],5,FALSE))</f>
        <v/>
      </c>
      <c r="J36" s="104" t="str">
        <f>IF($B36=0,"",VLOOKUP($B36,Materials[],7,FALSE))</f>
        <v/>
      </c>
      <c r="K36" s="83">
        <f t="shared" si="3"/>
        <v>0</v>
      </c>
      <c r="L36" s="95"/>
    </row>
    <row r="37" spans="1:12" hidden="1">
      <c r="A37" s="1"/>
      <c r="B37" s="254"/>
      <c r="C37" s="266" t="str">
        <f>IF(B37=0,"",VLOOKUP($B37,Materials[],2,FALSE))</f>
        <v/>
      </c>
      <c r="D37" s="266"/>
      <c r="E37" s="266"/>
      <c r="F37" s="133"/>
      <c r="G37" s="136"/>
      <c r="H37" s="138"/>
      <c r="I37" s="103" t="str">
        <f>IF($B37=0,"",VLOOKUP($B37,Materials[],5,FALSE))</f>
        <v/>
      </c>
      <c r="J37" s="104" t="str">
        <f>IF($B37=0,"",VLOOKUP($B37,Materials[],7,FALSE))</f>
        <v/>
      </c>
      <c r="K37" s="83">
        <f t="shared" si="3"/>
        <v>0</v>
      </c>
      <c r="L37" s="95"/>
    </row>
    <row r="38" spans="1:12" hidden="1">
      <c r="A38" s="124"/>
      <c r="B38" s="254"/>
      <c r="C38" s="266" t="str">
        <f>IF(B38=0,"",VLOOKUP($B38,Materials[],2,FALSE))</f>
        <v/>
      </c>
      <c r="D38" s="266"/>
      <c r="E38" s="266"/>
      <c r="F38" s="133"/>
      <c r="G38" s="136"/>
      <c r="H38" s="137"/>
      <c r="I38" s="103" t="str">
        <f>IF($B38=0,"",VLOOKUP($B38,Materials[],5,FALSE))</f>
        <v/>
      </c>
      <c r="J38" s="104" t="str">
        <f>IF($B38=0,"",VLOOKUP($B38,Materials[],7,FALSE))</f>
        <v/>
      </c>
      <c r="K38" s="83">
        <f t="shared" si="3"/>
        <v>0</v>
      </c>
      <c r="L38" s="95"/>
    </row>
    <row r="39" spans="1:12" hidden="1">
      <c r="A39" s="124"/>
      <c r="B39" s="254"/>
      <c r="C39" s="266" t="str">
        <f>IF(B39=0,"",VLOOKUP($B39,Materials[],2,FALSE))</f>
        <v/>
      </c>
      <c r="D39" s="266"/>
      <c r="E39" s="266"/>
      <c r="F39" s="133"/>
      <c r="G39" s="136"/>
      <c r="H39" s="137"/>
      <c r="I39" s="103" t="str">
        <f>IF($B39=0,"",VLOOKUP($B39,Materials[],5,FALSE))</f>
        <v/>
      </c>
      <c r="J39" s="104" t="str">
        <f>IF($B39=0,"",VLOOKUP($B39,Materials[],7,FALSE))</f>
        <v/>
      </c>
      <c r="K39" s="83">
        <f t="shared" si="3"/>
        <v>0</v>
      </c>
      <c r="L39" s="95"/>
    </row>
    <row r="40" spans="1:12" hidden="1">
      <c r="A40" s="124"/>
      <c r="B40" s="254"/>
      <c r="C40" s="266" t="str">
        <f>IF(B40=0,"",VLOOKUP($B40,Materials[],2,FALSE))</f>
        <v/>
      </c>
      <c r="D40" s="266"/>
      <c r="E40" s="266"/>
      <c r="F40" s="133"/>
      <c r="G40" s="136"/>
      <c r="H40" s="137"/>
      <c r="I40" s="103" t="str">
        <f>IF($B40=0,"",VLOOKUP($B40,Materials[],5,FALSE))</f>
        <v/>
      </c>
      <c r="J40" s="104" t="str">
        <f>IF($B40=0,"",VLOOKUP($B40,Materials[],7,FALSE))</f>
        <v/>
      </c>
      <c r="K40" s="83">
        <f t="shared" si="3"/>
        <v>0</v>
      </c>
      <c r="L40" s="95"/>
    </row>
    <row r="41" spans="1:12" hidden="1">
      <c r="A41" s="124"/>
      <c r="B41" s="254"/>
      <c r="C41" s="266" t="str">
        <f>IF(B41=0,"",VLOOKUP($B41,Materials[],2,FALSE))</f>
        <v/>
      </c>
      <c r="D41" s="266"/>
      <c r="E41" s="266"/>
      <c r="F41" s="133"/>
      <c r="G41" s="136"/>
      <c r="H41" s="137"/>
      <c r="I41" s="103" t="str">
        <f>IF($B41=0,"",VLOOKUP($B41,Materials[],5,FALSE))</f>
        <v/>
      </c>
      <c r="J41" s="104" t="str">
        <f>IF($B41=0,"",VLOOKUP($B41,Materials[],7,FALSE))</f>
        <v/>
      </c>
      <c r="K41" s="83">
        <f t="shared" si="3"/>
        <v>0</v>
      </c>
      <c r="L41" s="95"/>
    </row>
    <row r="42" spans="1:12" hidden="1">
      <c r="A42" s="124"/>
      <c r="B42" s="254"/>
      <c r="C42" s="266" t="str">
        <f>IF(B42=0,"",VLOOKUP($B42,Materials[],2,FALSE))</f>
        <v/>
      </c>
      <c r="D42" s="266"/>
      <c r="E42" s="266"/>
      <c r="F42" s="133"/>
      <c r="G42" s="136"/>
      <c r="H42" s="137"/>
      <c r="I42" s="103" t="str">
        <f>IF($B42=0,"",VLOOKUP($B42,Materials[],5,FALSE))</f>
        <v/>
      </c>
      <c r="J42" s="104" t="str">
        <f>IF($B42=0,"",VLOOKUP($B42,Materials[],7,FALSE))</f>
        <v/>
      </c>
      <c r="K42" s="83">
        <f t="shared" si="3"/>
        <v>0</v>
      </c>
      <c r="L42" s="95"/>
    </row>
    <row r="43" spans="1:12" hidden="1">
      <c r="A43" s="1"/>
      <c r="B43" s="254"/>
      <c r="C43" s="266" t="str">
        <f>IF(B43=0,"",VLOOKUP($B43,Materials[],2,FALSE))</f>
        <v/>
      </c>
      <c r="D43" s="266"/>
      <c r="E43" s="266"/>
      <c r="F43" s="133"/>
      <c r="G43" s="136"/>
      <c r="H43" s="137"/>
      <c r="I43" s="103" t="str">
        <f>IF($B43=0,"",VLOOKUP($B43,Materials[],5,FALSE))</f>
        <v/>
      </c>
      <c r="J43" s="104" t="str">
        <f>IF($B43=0,"",VLOOKUP($B43,Materials[],7,FALSE))</f>
        <v/>
      </c>
      <c r="K43" s="83">
        <f t="shared" si="3"/>
        <v>0</v>
      </c>
      <c r="L43" s="95"/>
    </row>
    <row r="44" spans="1:12" hidden="1">
      <c r="A44" s="1"/>
      <c r="B44" s="254"/>
      <c r="C44" s="266" t="str">
        <f>IF(B44=0,"",VLOOKUP($B44,Materials[],2,FALSE))</f>
        <v/>
      </c>
      <c r="D44" s="266"/>
      <c r="E44" s="266"/>
      <c r="F44" s="133"/>
      <c r="G44" s="136"/>
      <c r="H44" s="137"/>
      <c r="I44" s="103" t="str">
        <f>IF($B44=0,"",VLOOKUP($B44,Materials[],5,FALSE))</f>
        <v/>
      </c>
      <c r="J44" s="104" t="str">
        <f>IF($B44=0,"",VLOOKUP($B44,Materials[],7,FALSE))</f>
        <v/>
      </c>
      <c r="K44" s="83">
        <f t="shared" si="3"/>
        <v>0</v>
      </c>
      <c r="L44" s="95"/>
    </row>
    <row r="45" spans="1:12" hidden="1">
      <c r="B45" s="255"/>
      <c r="C45" s="266" t="str">
        <f>IF(B45=0,"",VLOOKUP($B45,Materials[],2,FALSE))</f>
        <v/>
      </c>
      <c r="D45" s="266"/>
      <c r="E45" s="266"/>
      <c r="F45" s="134"/>
      <c r="G45" s="136"/>
      <c r="H45" s="139"/>
      <c r="I45" s="103" t="str">
        <f>IF($B45=0,"",VLOOKUP($B45,Materials[],5,FALSE))</f>
        <v/>
      </c>
      <c r="J45" s="104" t="str">
        <f>IF($B45=0,"",VLOOKUP($B45,Materials[],7,FALSE))</f>
        <v/>
      </c>
      <c r="K45" s="83">
        <f t="shared" si="3"/>
        <v>0</v>
      </c>
      <c r="L45" s="95"/>
    </row>
    <row r="46" spans="1:12" hidden="1">
      <c r="B46" s="255"/>
      <c r="C46" s="266" t="str">
        <f>IF(B46=0,"",VLOOKUP($B46,Materials[],2,FALSE))</f>
        <v/>
      </c>
      <c r="D46" s="266"/>
      <c r="E46" s="266"/>
      <c r="F46" s="134"/>
      <c r="G46" s="136"/>
      <c r="H46" s="139"/>
      <c r="I46" s="103" t="str">
        <f>IF($B46=0,"",VLOOKUP($B46,Materials[],5,FALSE))</f>
        <v/>
      </c>
      <c r="J46" s="104" t="str">
        <f>IF($B46=0,"",VLOOKUP($B46,Materials[],7,FALSE))</f>
        <v/>
      </c>
      <c r="K46" s="83">
        <f t="shared" si="3"/>
        <v>0</v>
      </c>
      <c r="L46" s="95"/>
    </row>
    <row r="47" spans="1:12" hidden="1">
      <c r="B47" s="255"/>
      <c r="C47" s="266" t="str">
        <f>IF(B47=0,"",VLOOKUP($B47,Materials[],2,FALSE))</f>
        <v/>
      </c>
      <c r="D47" s="266"/>
      <c r="E47" s="266"/>
      <c r="F47" s="134"/>
      <c r="G47" s="140"/>
      <c r="H47" s="139"/>
      <c r="I47" s="103" t="str">
        <f>IF($B47=0,"",VLOOKUP($B47,Materials[],5,FALSE))</f>
        <v/>
      </c>
      <c r="J47" s="104" t="str">
        <f>IF($B47=0,"",VLOOKUP($B47,Materials[],7,FALSE))</f>
        <v/>
      </c>
      <c r="K47" s="83">
        <f t="shared" si="3"/>
        <v>0</v>
      </c>
      <c r="L47" s="95"/>
    </row>
    <row r="48" spans="1:12" hidden="1">
      <c r="B48" s="255"/>
      <c r="C48" s="266" t="str">
        <f>IF(B48=0,"",VLOOKUP($B48,Materials[],2,FALSE))</f>
        <v/>
      </c>
      <c r="D48" s="266"/>
      <c r="E48" s="266"/>
      <c r="F48" s="134"/>
      <c r="G48" s="140"/>
      <c r="H48" s="139"/>
      <c r="I48" s="103" t="str">
        <f>IF($B48=0,"",VLOOKUP($B48,Materials[],5,FALSE))</f>
        <v/>
      </c>
      <c r="J48" s="104" t="str">
        <f>IF($B48=0,"",VLOOKUP($B48,Materials[],7,FALSE))</f>
        <v/>
      </c>
      <c r="K48" s="83">
        <f t="shared" si="3"/>
        <v>0</v>
      </c>
      <c r="L48" s="95"/>
    </row>
    <row r="49" spans="2:12" hidden="1">
      <c r="B49" s="255"/>
      <c r="C49" s="266" t="str">
        <f>IF(B49=0,"",VLOOKUP($B49,Materials[],2,FALSE))</f>
        <v/>
      </c>
      <c r="D49" s="266"/>
      <c r="E49" s="266"/>
      <c r="F49" s="134"/>
      <c r="G49" s="140"/>
      <c r="H49" s="139"/>
      <c r="I49" s="103" t="str">
        <f>IF($B49=0,"",VLOOKUP($B49,Materials[],5,FALSE))</f>
        <v/>
      </c>
      <c r="J49" s="104" t="str">
        <f>IF($B49=0,"",VLOOKUP($B49,Materials[],7,FALSE))</f>
        <v/>
      </c>
      <c r="K49" s="83">
        <f t="shared" si="3"/>
        <v>0</v>
      </c>
      <c r="L49" s="95"/>
    </row>
    <row r="50" spans="2:12" hidden="1">
      <c r="B50" s="255"/>
      <c r="C50" s="266" t="str">
        <f>IF(B50=0,"",VLOOKUP($B50,Materials[],2,FALSE))</f>
        <v/>
      </c>
      <c r="D50" s="266"/>
      <c r="E50" s="266"/>
      <c r="F50" s="134"/>
      <c r="G50" s="140"/>
      <c r="H50" s="139"/>
      <c r="I50" s="103" t="str">
        <f>IF($B50=0,"",VLOOKUP($B50,Materials[],5,FALSE))</f>
        <v/>
      </c>
      <c r="J50" s="104" t="str">
        <f>IF($B50=0,"",VLOOKUP($B50,Materials[],7,FALSE))</f>
        <v/>
      </c>
      <c r="K50" s="83">
        <f t="shared" si="3"/>
        <v>0</v>
      </c>
      <c r="L50" s="96"/>
    </row>
    <row r="51" spans="2:12" hidden="1">
      <c r="B51" s="255"/>
      <c r="C51" s="266" t="str">
        <f>IF(B51=0,"",VLOOKUP($B51,Materials[],2,FALSE))</f>
        <v/>
      </c>
      <c r="D51" s="266"/>
      <c r="E51" s="266"/>
      <c r="F51" s="134"/>
      <c r="G51" s="140"/>
      <c r="H51" s="139"/>
      <c r="I51" s="103" t="str">
        <f>IF($B51=0,"",VLOOKUP($B51,Materials[],5,FALSE))</f>
        <v/>
      </c>
      <c r="J51" s="104" t="str">
        <f>IF($B51=0,"",VLOOKUP($B51,Materials[],7,FALSE))</f>
        <v/>
      </c>
      <c r="K51" s="84">
        <f t="shared" si="3"/>
        <v>0</v>
      </c>
      <c r="L51" s="96"/>
    </row>
    <row r="52" spans="2:12" ht="3.75" customHeight="1" thickBot="1">
      <c r="B52" s="97"/>
      <c r="C52" s="105"/>
      <c r="D52" s="105"/>
      <c r="E52" s="105"/>
      <c r="F52" s="98"/>
      <c r="G52" s="106"/>
      <c r="H52" s="107"/>
      <c r="I52" s="108"/>
      <c r="J52" s="109"/>
      <c r="K52" s="86"/>
      <c r="L52" s="99"/>
    </row>
    <row r="53" spans="2:12" ht="13.5" thickTop="1">
      <c r="C53" s="100" t="s">
        <v>108</v>
      </c>
      <c r="D53" s="100"/>
      <c r="J53" s="83"/>
      <c r="K53" s="83">
        <f>SUM(K32:K51)</f>
        <v>37.76</v>
      </c>
      <c r="L53" s="95"/>
    </row>
    <row r="54" spans="2:12">
      <c r="B54" s="125"/>
    </row>
    <row r="55" spans="2:12">
      <c r="B55" s="90" t="s">
        <v>112</v>
      </c>
      <c r="K55" s="83">
        <f>K28+K53</f>
        <v>103.88999999999999</v>
      </c>
      <c r="L55" s="95"/>
    </row>
    <row r="56" spans="2:12" ht="13.5" thickBot="1">
      <c r="D56" s="110" t="s">
        <v>439</v>
      </c>
      <c r="E56" s="111">
        <f>SUM($E$28:$H$28)+$K$53</f>
        <v>76.88</v>
      </c>
      <c r="F56" s="268" t="s">
        <v>440</v>
      </c>
      <c r="G56" s="268"/>
      <c r="H56" s="112">
        <f>'General Variables'!$B$9</f>
        <v>0.08</v>
      </c>
      <c r="I56" s="113" t="str">
        <f>CONCATENATE("for ",TEXT('General Variables'!$B$10,"0.0")," mo.")</f>
        <v>for 6.0 mo.</v>
      </c>
      <c r="K56" s="114">
        <f>ROUND(E56*H56*'General Variables'!$B$10/12,2)</f>
        <v>3.08</v>
      </c>
      <c r="L56" s="115"/>
    </row>
    <row r="57" spans="2:12" ht="13.5" thickTop="1">
      <c r="B57" s="90" t="s">
        <v>444</v>
      </c>
      <c r="K57" s="83">
        <f>SUM(K55:K56)</f>
        <v>106.96999999999998</v>
      </c>
      <c r="L57" s="95"/>
    </row>
    <row r="59" spans="2:12">
      <c r="B59" s="116" t="s">
        <v>487</v>
      </c>
      <c r="C59" s="117"/>
      <c r="D59" s="117"/>
      <c r="E59" s="117"/>
      <c r="F59" s="117"/>
      <c r="G59" s="117"/>
      <c r="H59" s="117"/>
      <c r="I59" s="117"/>
      <c r="J59" s="117"/>
      <c r="K59" s="118">
        <f>'General Variables'!B12</f>
        <v>5</v>
      </c>
      <c r="L59" s="95"/>
    </row>
    <row r="60" spans="2:12">
      <c r="B60" s="39" t="s">
        <v>447</v>
      </c>
      <c r="C60" s="269" t="s">
        <v>449</v>
      </c>
      <c r="D60" s="270"/>
      <c r="E60" s="271"/>
      <c r="F60" s="119">
        <f>IF(C60=0,0,VLOOKUP(C60,RETable,2,FALSE))</f>
        <v>1850</v>
      </c>
      <c r="G60" s="268" t="s">
        <v>448</v>
      </c>
      <c r="H60" s="268"/>
      <c r="I60" s="112">
        <f>'General Variables'!$B$8</f>
        <v>0.04</v>
      </c>
      <c r="K60" s="120">
        <f>ROUND(F60*I60,2)</f>
        <v>74</v>
      </c>
      <c r="L60" s="95"/>
    </row>
    <row r="61" spans="2:12" ht="13.5" thickBot="1">
      <c r="B61" s="39" t="s">
        <v>458</v>
      </c>
      <c r="F61" s="121">
        <f>IF(C60=0,0,VLOOKUP(C60,RETable,2,FALSE))</f>
        <v>1850</v>
      </c>
      <c r="G61" s="267" t="s">
        <v>448</v>
      </c>
      <c r="H61" s="267"/>
      <c r="I61" s="122">
        <f>'General Variables'!$B$11</f>
        <v>0.01</v>
      </c>
      <c r="J61" s="1"/>
      <c r="K61" s="123">
        <f>ROUND(F61*I61,2)</f>
        <v>18.5</v>
      </c>
      <c r="L61" s="115"/>
    </row>
    <row r="62" spans="2:12" ht="13.5" thickTop="1">
      <c r="B62" s="90" t="s">
        <v>472</v>
      </c>
      <c r="K62" s="83">
        <f>SUM(K57:K61)</f>
        <v>204.46999999999997</v>
      </c>
      <c r="L62" s="95"/>
    </row>
    <row r="64" spans="2:12">
      <c r="B64" s="90" t="str">
        <f>"Cost per "&amp;$B$3</f>
        <v>Cost per ton</v>
      </c>
      <c r="K64" s="83">
        <f>IF(A3="Yield",0,K62/$A$3)</f>
        <v>61.960606060606054</v>
      </c>
      <c r="L64" s="95"/>
    </row>
    <row r="65" spans="2:12">
      <c r="B65" s="55" t="str">
        <f>"Cash Cost per "&amp;$B$3</f>
        <v>Cash Cost per ton</v>
      </c>
      <c r="C65" s="1"/>
      <c r="D65" s="1"/>
      <c r="E65" s="1"/>
      <c r="F65" s="1"/>
      <c r="G65" s="1"/>
      <c r="H65" s="1"/>
      <c r="I65" s="1"/>
      <c r="J65" s="1"/>
      <c r="K65" s="24">
        <f>IF($A$3="Yield",0,(E56+K56+K61)/$A$3)</f>
        <v>29.836363636363636</v>
      </c>
      <c r="L65" s="126"/>
    </row>
    <row r="75" spans="2:12">
      <c r="B75" s="88"/>
      <c r="C75" s="88"/>
      <c r="D75" s="88"/>
    </row>
    <row r="76" spans="2:12">
      <c r="B76" s="88"/>
      <c r="C76" s="88"/>
      <c r="D76" s="88"/>
    </row>
    <row r="77" spans="2:12">
      <c r="B77" s="88"/>
      <c r="C77" s="88"/>
      <c r="D77" s="88"/>
    </row>
    <row r="78" spans="2:12">
      <c r="B78" s="88"/>
      <c r="C78" s="88"/>
      <c r="D78" s="88"/>
    </row>
    <row r="79" spans="2:12">
      <c r="B79" s="88"/>
      <c r="C79" s="88"/>
      <c r="D79" s="88"/>
    </row>
    <row r="80" spans="2:12">
      <c r="B80" s="88"/>
      <c r="C80" s="88"/>
      <c r="D80" s="88"/>
    </row>
    <row r="81" spans="2:4">
      <c r="B81" s="88"/>
      <c r="C81" s="88"/>
      <c r="D81" s="88"/>
    </row>
    <row r="82" spans="2:4">
      <c r="B82" s="88"/>
      <c r="C82" s="88"/>
      <c r="D82" s="88"/>
    </row>
    <row r="83" spans="2:4">
      <c r="B83" s="88"/>
      <c r="C83" s="88"/>
      <c r="D83" s="88"/>
    </row>
    <row r="84" spans="2:4">
      <c r="B84" s="88"/>
      <c r="C84" s="88"/>
      <c r="D84" s="88"/>
    </row>
    <row r="85" spans="2:4">
      <c r="B85" s="88"/>
      <c r="C85" s="88"/>
      <c r="D85" s="88"/>
    </row>
    <row r="86" spans="2:4">
      <c r="B86" s="88"/>
      <c r="C86" s="88"/>
      <c r="D86" s="88"/>
    </row>
    <row r="87" spans="2:4">
      <c r="B87" s="88"/>
      <c r="C87" s="88"/>
      <c r="D87" s="88"/>
    </row>
    <row r="88" spans="2:4">
      <c r="B88" s="88"/>
      <c r="C88" s="88"/>
      <c r="D88" s="88"/>
    </row>
    <row r="89" spans="2:4">
      <c r="B89" s="88"/>
      <c r="C89" s="88"/>
      <c r="D89" s="88"/>
    </row>
    <row r="90" spans="2:4">
      <c r="B90" s="88"/>
      <c r="C90" s="88"/>
      <c r="D90" s="88"/>
    </row>
    <row r="91" spans="2:4">
      <c r="B91" s="88"/>
      <c r="C91" s="88"/>
      <c r="D91" s="88"/>
    </row>
    <row r="92" spans="2:4">
      <c r="B92" s="88"/>
      <c r="C92" s="88"/>
      <c r="D92" s="88"/>
    </row>
    <row r="93" spans="2:4">
      <c r="B93" s="88"/>
      <c r="C93" s="88"/>
      <c r="D93" s="88"/>
    </row>
    <row r="94" spans="2:4">
      <c r="B94" s="88"/>
      <c r="C94" s="88"/>
      <c r="D94" s="88"/>
    </row>
    <row r="95" spans="2:4">
      <c r="B95" s="88"/>
      <c r="C95" s="88"/>
      <c r="D95" s="88"/>
    </row>
    <row r="96" spans="2:4">
      <c r="B96" s="88"/>
      <c r="C96" s="88"/>
      <c r="D96" s="88"/>
    </row>
    <row r="97" spans="2:6">
      <c r="B97" s="88"/>
      <c r="C97" s="88"/>
      <c r="D97" s="88"/>
    </row>
    <row r="98" spans="2:6">
      <c r="B98" s="88"/>
      <c r="C98" s="88"/>
      <c r="D98" s="88"/>
    </row>
    <row r="99" spans="2:6">
      <c r="B99" s="88"/>
      <c r="C99" s="88"/>
      <c r="D99" s="88"/>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12.xml><?xml version="1.0" encoding="utf-8"?>
<worksheet xmlns="http://schemas.openxmlformats.org/spreadsheetml/2006/main" xmlns:r="http://schemas.openxmlformats.org/officeDocument/2006/relationships">
  <sheetPr codeName="Sheet54"/>
  <dimension ref="B3:J7"/>
  <sheetViews>
    <sheetView workbookViewId="0">
      <selection activeCell="K35" sqref="K35"/>
    </sheetView>
  </sheetViews>
  <sheetFormatPr defaultRowHeight="12.75"/>
  <sheetData>
    <row r="3" spans="2:10">
      <c r="B3" s="43" t="s">
        <v>310</v>
      </c>
      <c r="C3" s="44" t="s">
        <v>479</v>
      </c>
      <c r="D3" s="45">
        <f>IF(B3=0,"",'General Variables'!$B$2*VLOOKUP(B3,Operations[],10,FALSE)/VLOOKUP(B3,Operations[],9,FALSE)*LEFT(C3,2))</f>
        <v>0.43153846153846154</v>
      </c>
      <c r="E3" s="45">
        <f>IF(B3=0,0,IF(VLOOKUP(B3,Operations[],12,FALSE)=0,VLOOKUP(B3,Operations[],13,FALSE)*'General Variables'!$B$6,VLOOKUP(B3,Operations[],12,FALSE)*'General Variables'!$B$5)/VLOOKUP(B3,Operations[],9,FALSE)*LEFT(C3,2))</f>
        <v>0.7895192307692307</v>
      </c>
      <c r="F3" s="45">
        <f>IF(B3=0,0,VLOOKUP(VLOOKUP(B3,Operations[],11,FALSE),PowerUnits[],10,FALSE)/VLOOKUP(B3,Operations[],9,FALSE)*LEFT(C3,2))</f>
        <v>8.0920000000000075E-2</v>
      </c>
      <c r="G3" s="45">
        <f>IF(B3=0,"",VLOOKUP($B3,Operations[],15,FALSE)*LEFT(C3,2))</f>
        <v>2.8828243921330415E-2</v>
      </c>
      <c r="H3" s="45">
        <f>IF(B3=0,0,VLOOKUP(VLOOKUP(B3,Operations[],11,FALSE),PowerUnits[],16,FALSE)/VLOOKUP(B3,Operations[],9,FALSE)*LEFT(C3,2))</f>
        <v>0.44705494284149949</v>
      </c>
      <c r="I3" s="45">
        <f>IF(B3=0,"",VLOOKUP($B3,Operations[],21,FALSE)*LEFT(C3,2))</f>
        <v>0.53987564263297971</v>
      </c>
      <c r="J3" s="45">
        <f>SUM(D3:I3)</f>
        <v>2.3177365217035018</v>
      </c>
    </row>
    <row r="4" spans="2:10">
      <c r="B4" s="43" t="s">
        <v>310</v>
      </c>
      <c r="C4" s="44" t="s">
        <v>480</v>
      </c>
      <c r="D4" s="45">
        <f>IF(B4=0,"",'General Variables'!$B$2*VLOOKUP(B4,Operations[],10,FALSE)/VLOOKUP(B4,Operations[],9,FALSE)*LEFT(C4,3))</f>
        <v>0.50769230769230766</v>
      </c>
      <c r="E4" s="45">
        <f>IF(B4=0,0,IF(VLOOKUP(B4,Operations[],12,FALSE)=0,VLOOKUP(B4,Operations[],13,FALSE)*'General Variables'!$B$6,VLOOKUP(B4,Operations[],12,FALSE)*'General Variables'!$B$5)/VLOOKUP(B4,Operations[],9,FALSE)*LEFT(C4,3))</f>
        <v>0.92884615384615365</v>
      </c>
      <c r="F4" s="45">
        <f>IF(B4=0,0,VLOOKUP(VLOOKUP(B4,Operations[],11,FALSE),PowerUnits[],10,FALSE)/VLOOKUP(B4,Operations[],9,FALSE)*LEFT(C4,3))</f>
        <v>9.520000000000009E-2</v>
      </c>
      <c r="G4" s="45">
        <f>IF(B4=0,"",VLOOKUP($B4,Operations[],15,FALSE)*LEFT(C4,3))</f>
        <v>3.3915581083918137E-2</v>
      </c>
      <c r="H4" s="45">
        <f>IF(B4=0,0,VLOOKUP(VLOOKUP(B4,Operations[],11,FALSE),PowerUnits[],16,FALSE)/VLOOKUP(B4,Operations[],9,FALSE)*LEFT(C4,3))</f>
        <v>0.52594699157823466</v>
      </c>
      <c r="I4" s="45">
        <f>IF(B4=0,"",VLOOKUP($B4,Operations[],21,FALSE)*LEFT(C4,3))</f>
        <v>0.63514781486232907</v>
      </c>
      <c r="J4" s="45">
        <f>SUM(D4:I4)</f>
        <v>2.7267488490629437</v>
      </c>
    </row>
    <row r="5" spans="2:10">
      <c r="B5" s="43" t="s">
        <v>318</v>
      </c>
      <c r="C5" s="44" t="s">
        <v>478</v>
      </c>
      <c r="D5" s="45">
        <f>IF(B5=0,"",'General Variables'!$B$2*VLOOKUP(B5,Operations[],10,FALSE)/VLOOKUP(B5,Operations[],9,FALSE)*LEFT(C5,2))</f>
        <v>42.777777777777779</v>
      </c>
      <c r="E5" s="45"/>
      <c r="F5" s="45"/>
      <c r="G5" s="45"/>
      <c r="H5" s="45"/>
      <c r="I5" s="45"/>
      <c r="J5" s="45">
        <f>SUM(D5:I5)</f>
        <v>42.777777777777779</v>
      </c>
    </row>
    <row r="6" spans="2:10">
      <c r="B6" s="43" t="s">
        <v>337</v>
      </c>
      <c r="C6" s="44" t="s">
        <v>477</v>
      </c>
      <c r="D6" s="45">
        <f>IF(B6=0,"",'General Variables'!$B$2*VLOOKUP(B6,Operations[],10,FALSE)/VLOOKUP(B6,Operations[],9,FALSE)*LEFT(C6,2))</f>
        <v>6.6666666666666661</v>
      </c>
      <c r="E6" s="45">
        <f>IF(B6=0,0,IF(VLOOKUP(B6,Operations[],12,FALSE)=0,VLOOKUP(B6,Operations[],13,FALSE)*'General Variables'!$B$6,VLOOKUP(B6,Operations[],12,FALSE)*'General Variables'!$B$5)/VLOOKUP(B6,Operations[],9,FALSE)*LEFT(C6,2))</f>
        <v>37.374577777777773</v>
      </c>
      <c r="F6" s="45">
        <f>IF(B6=0,0,VLOOKUP(VLOOKUP(B6,Operations[],11,FALSE),PowerUnits[],10,FALSE)/VLOOKUP(B6,Operations[],9,FALSE)*LEFT(C6,2))</f>
        <v>6.2517307896891117</v>
      </c>
      <c r="G6" s="45">
        <f>IF(B6=0,"",VLOOKUP($B6,Operations[],15,FALSE)*LEFT(C6,2))</f>
        <v>18.444444444444468</v>
      </c>
      <c r="H6" s="45">
        <f>IF(B6=0,0,VLOOKUP(VLOOKUP(B6,Operations[],11,FALSE),PowerUnits[],16,FALSE)/VLOOKUP(B6,Operations[],9,FALSE)*LEFT(C6,2))</f>
        <v>4.1993045438733141</v>
      </c>
      <c r="I6" s="45">
        <f>IF(B6=0,"",VLOOKUP($B6,Operations[],21,FALSE)*LEFT(C6,2))</f>
        <v>11.032555213073014</v>
      </c>
      <c r="J6" s="45">
        <f>SUM(D6:I6)</f>
        <v>83.969279435524342</v>
      </c>
    </row>
    <row r="7" spans="2:10">
      <c r="B7" s="43" t="s">
        <v>336</v>
      </c>
      <c r="C7" s="44" t="s">
        <v>481</v>
      </c>
      <c r="D7" s="45">
        <f>IF(B7=0,"",'General Variables'!$B$2*VLOOKUP(B7,Operations[],10,FALSE)/VLOOKUP(B7,Operations[],9,FALSE)*LEFT(C7,1))</f>
        <v>3.7499999999999996</v>
      </c>
      <c r="E7" s="45">
        <f>IF(B7=0,0,IF(VLOOKUP(B7,Operations[],12,FALSE)=0,VLOOKUP(B7,Operations[],13,FALSE)*'General Variables'!$B$6,VLOOKUP(B7,Operations[],12,FALSE)*'General Variables'!$B$5)/VLOOKUP(B7,Operations[],9,FALSE)*LEFT(C7,1))</f>
        <v>57.614999999999988</v>
      </c>
      <c r="F7" s="45">
        <f>IF(B7=0,0,VLOOKUP(VLOOKUP(B7,Operations[],11,FALSE),PowerUnits[],10,FALSE)/VLOOKUP(B7,Operations[],9,FALSE)*LEFT(C7,1))</f>
        <v>2.9400000000000022</v>
      </c>
      <c r="G7" s="45">
        <f>IF(B7=0,"",VLOOKUP($B7,Operations[],15,FALSE)*LEFT(C7,1))</f>
        <v>10.375000000000012</v>
      </c>
      <c r="H7" s="45">
        <f>IF(B7=0,0,VLOOKUP(VLOOKUP(B7,Operations[],11,FALSE),PowerUnits[],16,FALSE)/VLOOKUP(B7,Operations[],9,FALSE)*LEFT(C7,1))</f>
        <v>8.0891414959140064</v>
      </c>
      <c r="I7" s="45">
        <f>IF(B7=0,"",VLOOKUP($B7,Operations[],21,FALSE)*LEFT(C7,1))</f>
        <v>6.20581230735357</v>
      </c>
      <c r="J7" s="45">
        <f>SUM(D7:I7)</f>
        <v>88.974953803267582</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57">
    <pageSetUpPr fitToPage="1"/>
  </sheetPr>
  <dimension ref="A1:O218"/>
  <sheetViews>
    <sheetView showZeros="0" tabSelected="1" topLeftCell="A43" workbookViewId="0">
      <selection activeCell="B3" sqref="B3"/>
    </sheetView>
  </sheetViews>
  <sheetFormatPr defaultRowHeight="12.75"/>
  <cols>
    <col min="1" max="1" width="5.140625" style="13" customWidth="1"/>
    <col min="2" max="2" width="22.28515625" style="13" customWidth="1"/>
    <col min="3" max="3" width="7.28515625" style="13" customWidth="1"/>
    <col min="4" max="4" width="4.7109375" style="13" customWidth="1"/>
    <col min="5" max="5" width="9.140625" style="13"/>
    <col min="6" max="6" width="11.140625" style="13" customWidth="1"/>
    <col min="7" max="7" width="8" style="13" customWidth="1"/>
    <col min="8" max="8" width="7.7109375" style="13" customWidth="1"/>
    <col min="9" max="9" width="9.140625" style="13" customWidth="1"/>
    <col min="10" max="10" width="9.140625" style="13"/>
    <col min="11" max="11" width="8.7109375" style="13" customWidth="1"/>
    <col min="12" max="16384" width="9.140625" style="13"/>
  </cols>
  <sheetData>
    <row r="1" spans="1:15">
      <c r="A1" s="127" t="s">
        <v>488</v>
      </c>
      <c r="B1" s="64"/>
      <c r="C1" s="63"/>
      <c r="D1" s="63"/>
      <c r="E1" s="64"/>
      <c r="F1" s="63"/>
      <c r="G1" s="63"/>
      <c r="H1" s="129" t="s">
        <v>97</v>
      </c>
      <c r="I1" s="64"/>
      <c r="J1" s="2"/>
      <c r="K1" s="42" t="str">
        <f>'General Variables'!A1&amp;" "&amp;'General Variables'!B1</f>
        <v>Year 2011</v>
      </c>
      <c r="O1" s="12" t="s">
        <v>528</v>
      </c>
    </row>
    <row r="2" spans="1:15">
      <c r="A2" s="127" t="s">
        <v>90</v>
      </c>
      <c r="B2" s="64"/>
      <c r="C2" s="63"/>
      <c r="D2" s="63"/>
      <c r="E2" s="64"/>
      <c r="F2" s="63"/>
      <c r="G2" s="63"/>
      <c r="H2" s="130" t="s">
        <v>98</v>
      </c>
      <c r="I2" s="252" t="str">
        <f>IF(H2="","","acre-inches")</f>
        <v>acre-inches</v>
      </c>
      <c r="J2" s="2"/>
      <c r="K2" s="2"/>
      <c r="O2" s="12" t="s">
        <v>527</v>
      </c>
    </row>
    <row r="3" spans="1:15">
      <c r="A3" s="127" t="s">
        <v>91</v>
      </c>
      <c r="B3" s="127" t="s">
        <v>89</v>
      </c>
      <c r="C3" s="63"/>
      <c r="D3" s="63"/>
      <c r="E3" s="64"/>
      <c r="F3" s="64"/>
      <c r="G3" s="64"/>
      <c r="H3" s="64"/>
      <c r="I3" s="64"/>
      <c r="J3" s="2"/>
      <c r="K3" s="2"/>
      <c r="O3" s="12" t="str">
        <f>B3</f>
        <v>Unit</v>
      </c>
    </row>
    <row r="5" spans="1:15" s="2" customFormat="1" ht="22.5" customHeight="1">
      <c r="B5" s="272" t="s">
        <v>92</v>
      </c>
      <c r="C5" s="274" t="s">
        <v>1</v>
      </c>
      <c r="D5" s="74"/>
      <c r="E5" s="274" t="str">
        <f>"Labor @ $" &amp;TEXT('General Variables'!B2,"#.00")&amp; " /Hr"</f>
        <v>Labor @ $12.00 /Hr</v>
      </c>
      <c r="F5" s="274" t="str">
        <f>"Fuel @ $" &amp; TEXT('General Variables'!B3,"#.00") &amp; " and Lube"</f>
        <v>Fuel @ $3.00 and Lube</v>
      </c>
      <c r="G5" s="276" t="s">
        <v>93</v>
      </c>
      <c r="H5" s="276"/>
      <c r="I5" s="276" t="s">
        <v>416</v>
      </c>
      <c r="J5" s="276"/>
      <c r="K5" s="276" t="s">
        <v>2</v>
      </c>
      <c r="L5" s="274" t="s">
        <v>438</v>
      </c>
    </row>
    <row r="6" spans="1:15" s="2" customFormat="1" ht="17.25" customHeight="1" thickBot="1">
      <c r="B6" s="273"/>
      <c r="C6" s="275"/>
      <c r="D6" s="75" t="s">
        <v>89</v>
      </c>
      <c r="E6" s="275"/>
      <c r="F6" s="275"/>
      <c r="G6" s="60" t="s">
        <v>94</v>
      </c>
      <c r="H6" s="60" t="s">
        <v>96</v>
      </c>
      <c r="I6" s="60" t="s">
        <v>94</v>
      </c>
      <c r="J6" s="60" t="s">
        <v>96</v>
      </c>
      <c r="K6" s="277"/>
      <c r="L6" s="275"/>
    </row>
    <row r="7" spans="1:15" ht="13.5" thickTop="1">
      <c r="A7" s="62">
        <v>1</v>
      </c>
      <c r="B7" s="254"/>
      <c r="C7" s="133"/>
      <c r="D7" s="256"/>
      <c r="E7" s="14" t="str">
        <f>IF(B7=0,"",IF(C7&gt;9999,"",ROUND('General Variables'!$B$2*VLOOKUP(B7,Operations[],10,FALSE)/VLOOKUP(B7,Operations[],9,FALSE)*C7,2)))</f>
        <v/>
      </c>
      <c r="F7" s="14">
        <f>IF(B7=0,0,IF(C7&gt;9999,"",ROUND(IF(VLOOKUP(B7,Operations[],12,FALSE)=0,VLOOKUP(B7,Operations[],13,FALSE)*'General Variables'!$B$6,VLOOKUP(B7,Operations[],12,FALSE)*'General Variables'!$B$5)/VLOOKUP(B7,Operations[],9,FALSE)*C7,2)))</f>
        <v>0</v>
      </c>
      <c r="G7" s="14">
        <f>IF(B7=0,0,IF(C7&gt;9999,"",ROUND(VLOOKUP(VLOOKUP(B7,Operations[],11,FALSE),PowerUnits[],10,FALSE)/VLOOKUP(B7,Operations[],9,FALSE)*C7,2)))</f>
        <v>0</v>
      </c>
      <c r="H7" s="14" t="str">
        <f>IF(B7=0,"",IF(C7&gt;9999,"",ROUND(VLOOKUP($B7,Operations[],15,FALSE)*C7,2)))</f>
        <v/>
      </c>
      <c r="I7" s="14">
        <f>IF(B7=0,0,IF(C7&gt;9999,"",ROUND(VLOOKUP(VLOOKUP(B7,Operations[],11,FALSE),PowerUnits[],16,FALSE)/VLOOKUP(B7,Operations[],9,FALSE)*C7,2)))</f>
        <v>0</v>
      </c>
      <c r="J7" s="14" t="str">
        <f>IF(B7=0,"",IF(C7&gt;9999,"",ROUND(VLOOKUP($B7,Operations[],21,FALSE)*$C7,2)))</f>
        <v/>
      </c>
      <c r="K7" s="14">
        <f>IF(C7&gt;9999,"",ROUND(SUM(E7:J7),2))</f>
        <v>0</v>
      </c>
      <c r="L7" s="33"/>
    </row>
    <row r="8" spans="1:15">
      <c r="A8" s="62">
        <v>2</v>
      </c>
      <c r="B8" s="254"/>
      <c r="C8" s="133"/>
      <c r="D8" s="256"/>
      <c r="E8" s="14" t="str">
        <f>IF(B8=0,"",IF(C8&gt;9999,"",ROUND('General Variables'!$B$2*VLOOKUP(B8,Operations[],10,FALSE)/VLOOKUP(B8,Operations[],9,FALSE)*C8,2)))</f>
        <v/>
      </c>
      <c r="F8" s="14">
        <f>IF(B8=0,0,IF(C8&gt;9999,"",ROUND(IF(VLOOKUP(B8,Operations[],12,FALSE)=0,VLOOKUP(B8,Operations[],13,FALSE)*'General Variables'!$B$6,VLOOKUP(B8,Operations[],12,FALSE)*'General Variables'!$B$5)/VLOOKUP(B8,Operations[],9,FALSE)*C8,2)))</f>
        <v>0</v>
      </c>
      <c r="G8" s="14">
        <f>IF(B8=0,0,IF(C8&gt;9999,"",ROUND(VLOOKUP(VLOOKUP(B8,Operations[],11,FALSE),PowerUnits[],10,FALSE)/VLOOKUP(B8,Operations[],9,FALSE)*C8,2)))</f>
        <v>0</v>
      </c>
      <c r="H8" s="14" t="str">
        <f>IF(B8=0,"",IF(C8&gt;9999,"",ROUND(VLOOKUP($B8,Operations[],15,FALSE)*C8,2)))</f>
        <v/>
      </c>
      <c r="I8" s="14">
        <f>IF(B8=0,0,IF(C8&gt;9999,"",ROUND(VLOOKUP(VLOOKUP(B8,Operations[],11,FALSE),PowerUnits[],16,FALSE)/VLOOKUP(B8,Operations[],9,FALSE)*C8,2)))</f>
        <v>0</v>
      </c>
      <c r="J8" s="14" t="str">
        <f>IF(B8=0,"",IF(C8&gt;9999,"",ROUND(VLOOKUP($B8,Operations[],21,FALSE)*$C8,2)))</f>
        <v/>
      </c>
      <c r="K8" s="14">
        <f t="shared" ref="K8:K26" si="0">IF(C8&gt;9999,"",ROUND(SUM(E8:J8),2))</f>
        <v>0</v>
      </c>
      <c r="L8" s="33"/>
    </row>
    <row r="9" spans="1:15">
      <c r="A9" s="62">
        <v>3</v>
      </c>
      <c r="B9" s="254"/>
      <c r="C9" s="133"/>
      <c r="D9" s="256"/>
      <c r="E9" s="14" t="str">
        <f>IF(B9=0,"",IF(C9&gt;9999,"",ROUND('General Variables'!$B$2*VLOOKUP(B9,Operations[],10,FALSE)/VLOOKUP(B9,Operations[],9,FALSE)*C9,2)))</f>
        <v/>
      </c>
      <c r="F9" s="14">
        <f>IF(B9=0,0,IF(C9&gt;9999,"",ROUND(IF(VLOOKUP(B9,Operations[],12,FALSE)=0,VLOOKUP(B9,Operations[],13,FALSE)*'General Variables'!$B$6,VLOOKUP(B9,Operations[],12,FALSE)*'General Variables'!$B$5)/VLOOKUP(B9,Operations[],9,FALSE)*C9,2)))</f>
        <v>0</v>
      </c>
      <c r="G9" s="14">
        <f>IF(B9=0,0,IF(C9&gt;9999,"",ROUND(VLOOKUP(VLOOKUP(B9,Operations[],11,FALSE),PowerUnits[],10,FALSE)/VLOOKUP(B9,Operations[],9,FALSE)*C9,2)))</f>
        <v>0</v>
      </c>
      <c r="H9" s="14" t="str">
        <f>IF(B9=0,"",IF(C9&gt;9999,"",ROUND(VLOOKUP($B9,Operations[],15,FALSE)*C9,2)))</f>
        <v/>
      </c>
      <c r="I9" s="14">
        <f>IF(B9=0,0,IF(C9&gt;9999,"",ROUND(VLOOKUP(VLOOKUP(B9,Operations[],11,FALSE),PowerUnits[],16,FALSE)/VLOOKUP(B9,Operations[],9,FALSE)*C9,2)))</f>
        <v>0</v>
      </c>
      <c r="J9" s="14" t="str">
        <f>IF(B9=0,"",IF(C9&gt;9999,"",ROUND(VLOOKUP($B9,Operations[],21,FALSE)*$C9,2)))</f>
        <v/>
      </c>
      <c r="K9" s="14">
        <f t="shared" si="0"/>
        <v>0</v>
      </c>
      <c r="L9" s="33"/>
    </row>
    <row r="10" spans="1:15">
      <c r="A10" s="62">
        <v>4</v>
      </c>
      <c r="B10" s="254"/>
      <c r="C10" s="133"/>
      <c r="D10" s="256"/>
      <c r="E10" s="14" t="str">
        <f>IF(B10=0,"",IF(C10&gt;9999,"",ROUND('General Variables'!$B$2*VLOOKUP(B10,Operations[],10,FALSE)/VLOOKUP(B10,Operations[],9,FALSE)*C10,2)))</f>
        <v/>
      </c>
      <c r="F10" s="14">
        <f>IF(B10=0,0,IF(C10&gt;9999,"",ROUND(IF(VLOOKUP(B10,Operations[],12,FALSE)=0,VLOOKUP(B10,Operations[],13,FALSE)*'General Variables'!$B$6,VLOOKUP(B10,Operations[],12,FALSE)*'General Variables'!$B$5)/VLOOKUP(B10,Operations[],9,FALSE)*C10,2)))</f>
        <v>0</v>
      </c>
      <c r="G10" s="14">
        <f>IF(B10=0,0,IF(C10&gt;9999,"",ROUND(VLOOKUP(VLOOKUP(B10,Operations[],11,FALSE),PowerUnits[],10,FALSE)/VLOOKUP(B10,Operations[],9,FALSE)*C10,2)))</f>
        <v>0</v>
      </c>
      <c r="H10" s="14" t="str">
        <f>IF(B10=0,"",IF(C10&gt;9999,"",ROUND(VLOOKUP($B10,Operations[],15,FALSE)*C10,2)))</f>
        <v/>
      </c>
      <c r="I10" s="14">
        <f>IF(B10=0,0,IF(C10&gt;9999,"",ROUND(VLOOKUP(VLOOKUP(B10,Operations[],11,FALSE),PowerUnits[],16,FALSE)/VLOOKUP(B10,Operations[],9,FALSE)*C10,2)))</f>
        <v>0</v>
      </c>
      <c r="J10" s="14" t="str">
        <f>IF(B10=0,"",IF(C10&gt;9999,"",ROUND(VLOOKUP($B10,Operations[],21,FALSE)*$C10,2)))</f>
        <v/>
      </c>
      <c r="K10" s="14">
        <f t="shared" si="0"/>
        <v>0</v>
      </c>
      <c r="L10" s="33"/>
    </row>
    <row r="11" spans="1:15">
      <c r="A11" s="62">
        <v>5</v>
      </c>
      <c r="B11" s="254"/>
      <c r="C11" s="133"/>
      <c r="D11" s="256"/>
      <c r="E11" s="14" t="str">
        <f>IF(B11=0,"",IF(C11&gt;9999,"",ROUND('General Variables'!$B$2*VLOOKUP(B11,Operations[],10,FALSE)/VLOOKUP(B11,Operations[],9,FALSE)*C11,2)))</f>
        <v/>
      </c>
      <c r="F11" s="14">
        <f>IF(B11=0,0,IF(C11&gt;9999,"",ROUND(IF(VLOOKUP(B11,Operations[],12,FALSE)=0,VLOOKUP(B11,Operations[],13,FALSE)*'General Variables'!$B$6,VLOOKUP(B11,Operations[],12,FALSE)*'General Variables'!$B$5)/VLOOKUP(B11,Operations[],9,FALSE)*C11,2)))</f>
        <v>0</v>
      </c>
      <c r="G11" s="14">
        <f>IF(B11=0,0,IF(C11&gt;9999,"",ROUND(VLOOKUP(VLOOKUP(B11,Operations[],11,FALSE),PowerUnits[],10,FALSE)/VLOOKUP(B11,Operations[],9,FALSE)*C11,2)))</f>
        <v>0</v>
      </c>
      <c r="H11" s="14" t="str">
        <f>IF(B11=0,"",IF(C11&gt;9999,"",ROUND(VLOOKUP($B11,Operations[],15,FALSE)*C11,2)))</f>
        <v/>
      </c>
      <c r="I11" s="14">
        <f>IF(B11=0,0,IF(C11&gt;9999,"",ROUND(VLOOKUP(VLOOKUP(B11,Operations[],11,FALSE),PowerUnits[],16,FALSE)/VLOOKUP(B11,Operations[],9,FALSE)*C11,2)))</f>
        <v>0</v>
      </c>
      <c r="J11" s="14" t="str">
        <f>IF(B11=0,"",IF(C11&gt;9999,"",ROUND(VLOOKUP($B11,Operations[],21,FALSE)*$C11,2)))</f>
        <v/>
      </c>
      <c r="K11" s="14">
        <f t="shared" si="0"/>
        <v>0</v>
      </c>
      <c r="L11" s="33"/>
    </row>
    <row r="12" spans="1:15">
      <c r="A12" s="62">
        <v>6</v>
      </c>
      <c r="B12" s="254"/>
      <c r="C12" s="133"/>
      <c r="D12" s="256"/>
      <c r="E12" s="14" t="str">
        <f>IF(B12=0,"",IF(C12&gt;9999,"",ROUND('General Variables'!$B$2*VLOOKUP(B12,Operations[],10,FALSE)/VLOOKUP(B12,Operations[],9,FALSE)*C12,2)))</f>
        <v/>
      </c>
      <c r="F12" s="14">
        <f>IF(B12=0,0,IF(C12&gt;9999,"",ROUND(IF(VLOOKUP(B12,Operations[],12,FALSE)=0,VLOOKUP(B12,Operations[],13,FALSE)*'General Variables'!$B$6,VLOOKUP(B12,Operations[],12,FALSE)*'General Variables'!$B$5)/VLOOKUP(B12,Operations[],9,FALSE)*C12,2)))</f>
        <v>0</v>
      </c>
      <c r="G12" s="14">
        <f>IF(B12=0,0,IF(C12&gt;9999,"",ROUND(VLOOKUP(VLOOKUP(B12,Operations[],11,FALSE),PowerUnits[],10,FALSE)/VLOOKUP(B12,Operations[],9,FALSE)*C12,2)))</f>
        <v>0</v>
      </c>
      <c r="H12" s="14" t="str">
        <f>IF(B12=0,"",IF(C12&gt;9999,"",ROUND(VLOOKUP($B12,Operations[],15,FALSE)*C12,2)))</f>
        <v/>
      </c>
      <c r="I12" s="14">
        <f>IF(B12=0,0,IF(C12&gt;9999,"",ROUND(VLOOKUP(VLOOKUP(B12,Operations[],11,FALSE),PowerUnits[],16,FALSE)/VLOOKUP(B12,Operations[],9,FALSE)*C12,2)))</f>
        <v>0</v>
      </c>
      <c r="J12" s="14" t="str">
        <f>IF(B12=0,"",IF(C12&gt;9999,"",ROUND(VLOOKUP($B12,Operations[],21,FALSE)*$C12,2)))</f>
        <v/>
      </c>
      <c r="K12" s="14">
        <f t="shared" si="0"/>
        <v>0</v>
      </c>
      <c r="L12" s="33"/>
    </row>
    <row r="13" spans="1:15">
      <c r="A13" s="62">
        <v>7</v>
      </c>
      <c r="B13" s="254"/>
      <c r="C13" s="133"/>
      <c r="D13" s="256"/>
      <c r="E13" s="14" t="str">
        <f>IF(B13=0,"",IF(C13&gt;9999,"",ROUND('General Variables'!$B$2*VLOOKUP(B13,Operations[],10,FALSE)/VLOOKUP(B13,Operations[],9,FALSE)*C13,2)))</f>
        <v/>
      </c>
      <c r="F13" s="14">
        <f>IF(B13=0,0,IF(C13&gt;9999,"",ROUND(IF(VLOOKUP(B13,Operations[],12,FALSE)=0,VLOOKUP(B13,Operations[],13,FALSE)*'General Variables'!$B$6,VLOOKUP(B13,Operations[],12,FALSE)*'General Variables'!$B$5)/VLOOKUP(B13,Operations[],9,FALSE)*C13,2)))</f>
        <v>0</v>
      </c>
      <c r="G13" s="14">
        <f>IF(B13=0,0,IF(C13&gt;9999,"",ROUND(VLOOKUP(VLOOKUP(B13,Operations[],11,FALSE),PowerUnits[],10,FALSE)/VLOOKUP(B13,Operations[],9,FALSE)*C13,2)))</f>
        <v>0</v>
      </c>
      <c r="H13" s="14" t="str">
        <f>IF(B13=0,"",IF(C13&gt;9999,"",ROUND(VLOOKUP($B13,Operations[],15,FALSE)*C13,2)))</f>
        <v/>
      </c>
      <c r="I13" s="14">
        <f>IF(B13=0,0,IF(C13&gt;9999,"",ROUND(VLOOKUP(VLOOKUP(B13,Operations[],11,FALSE),PowerUnits[],16,FALSE)/VLOOKUP(B13,Operations[],9,FALSE)*C13,2)))</f>
        <v>0</v>
      </c>
      <c r="J13" s="14" t="str">
        <f>IF(B13=0,"",IF(C13&gt;9999,"",ROUND(VLOOKUP($B13,Operations[],21,FALSE)*$C13,2)))</f>
        <v/>
      </c>
      <c r="K13" s="14">
        <f t="shared" si="0"/>
        <v>0</v>
      </c>
      <c r="L13" s="33"/>
    </row>
    <row r="14" spans="1:15">
      <c r="A14" s="62">
        <v>8</v>
      </c>
      <c r="B14" s="254"/>
      <c r="C14" s="133"/>
      <c r="D14" s="256"/>
      <c r="E14" s="14" t="str">
        <f>IF(B14=0,"",IF(C14&gt;9999,"",ROUND('General Variables'!$B$2*VLOOKUP(B14,Operations[],10,FALSE)/VLOOKUP(B14,Operations[],9,FALSE)*C14,2)))</f>
        <v/>
      </c>
      <c r="F14" s="14">
        <f>IF(B14=0,0,IF(C14&gt;9999,"",ROUND(IF(VLOOKUP(B14,Operations[],12,FALSE)=0,VLOOKUP(B14,Operations[],13,FALSE)*'General Variables'!$B$6,VLOOKUP(B14,Operations[],12,FALSE)*'General Variables'!$B$5)/VLOOKUP(B14,Operations[],9,FALSE)*C14,2)))</f>
        <v>0</v>
      </c>
      <c r="G14" s="14">
        <f>IF(B14=0,0,IF(C14&gt;9999,"",ROUND(VLOOKUP(VLOOKUP(B14,Operations[],11,FALSE),PowerUnits[],10,FALSE)/VLOOKUP(B14,Operations[],9,FALSE)*C14,2)))</f>
        <v>0</v>
      </c>
      <c r="H14" s="14" t="str">
        <f>IF(B14=0,"",IF(C14&gt;9999,"",ROUND(VLOOKUP($B14,Operations[],15,FALSE)*C14,2)))</f>
        <v/>
      </c>
      <c r="I14" s="14">
        <f>IF(B14=0,0,IF(C14&gt;9999,"",ROUND(VLOOKUP(VLOOKUP(B14,Operations[],11,FALSE),PowerUnits[],16,FALSE)/VLOOKUP(B14,Operations[],9,FALSE)*C14,2)))</f>
        <v>0</v>
      </c>
      <c r="J14" s="14" t="str">
        <f>IF(B14=0,"",IF(C14&gt;9999,"",ROUND(VLOOKUP($B14,Operations[],21,FALSE)*$C14,2)))</f>
        <v/>
      </c>
      <c r="K14" s="14">
        <f t="shared" ref="K14" si="1">IF(C14&gt;9999,"",ROUND(SUM(E14:J14),2))</f>
        <v>0</v>
      </c>
      <c r="L14" s="33"/>
    </row>
    <row r="15" spans="1:15">
      <c r="A15" s="62">
        <v>9</v>
      </c>
      <c r="B15" s="254"/>
      <c r="C15" s="133"/>
      <c r="D15" s="256"/>
      <c r="E15" s="14" t="str">
        <f>IF(B15=0,"",IF(C15&gt;9999,"",ROUND('General Variables'!$B$2*VLOOKUP(B15,Operations[],10,FALSE)/VLOOKUP(B15,Operations[],9,FALSE)*C15,2)))</f>
        <v/>
      </c>
      <c r="F15" s="14">
        <f>IF(B15=0,0,IF(C15&gt;9999,"",ROUND(IF(VLOOKUP(B15,Operations[],12,FALSE)=0,VLOOKUP(B15,Operations[],13,FALSE)*'General Variables'!$B$6,VLOOKUP(B15,Operations[],12,FALSE)*'General Variables'!$B$5)/VLOOKUP(B15,Operations[],9,FALSE)*C15,2)))</f>
        <v>0</v>
      </c>
      <c r="G15" s="14">
        <f>IF(B15=0,0,IF(C15&gt;9999,"",ROUND(VLOOKUP(VLOOKUP(B15,Operations[],11,FALSE),PowerUnits[],10,FALSE)/VLOOKUP(B15,Operations[],9,FALSE)*C15,2)))</f>
        <v>0</v>
      </c>
      <c r="H15" s="14" t="str">
        <f>IF(B15=0,"",IF(C15&gt;9999,"",ROUND(VLOOKUP($B15,Operations[],15,FALSE)*C15,2)))</f>
        <v/>
      </c>
      <c r="I15" s="14">
        <f>IF(B15=0,0,IF(C15&gt;9999,"",ROUND(VLOOKUP(VLOOKUP(B15,Operations[],11,FALSE),PowerUnits[],16,FALSE)/VLOOKUP(B15,Operations[],9,FALSE)*C15,2)))</f>
        <v>0</v>
      </c>
      <c r="J15" s="14" t="str">
        <f>IF(B15=0,"",IF(C15&gt;9999,"",ROUND(VLOOKUP($B15,Operations[],21,FALSE)*$C15,2)))</f>
        <v/>
      </c>
      <c r="K15" s="14">
        <f t="shared" si="0"/>
        <v>0</v>
      </c>
      <c r="L15" s="33"/>
    </row>
    <row r="16" spans="1:15">
      <c r="A16" s="62">
        <v>10</v>
      </c>
      <c r="B16" s="254"/>
      <c r="C16" s="133"/>
      <c r="D16" s="256"/>
      <c r="E16" s="14" t="str">
        <f>IF(B16=0,"",IF(C16&gt;9999,"",ROUND('General Variables'!$B$2*VLOOKUP(B16,Operations[],10,FALSE)/VLOOKUP(B16,Operations[],9,FALSE)*C16,2)))</f>
        <v/>
      </c>
      <c r="F16" s="14">
        <f>IF(B16=0,0,IF(C16&gt;9999,"",ROUND(IF(VLOOKUP(B16,Operations[],12,FALSE)=0,VLOOKUP(B16,Operations[],13,FALSE)*'General Variables'!$B$6,VLOOKUP(B16,Operations[],12,FALSE)*'General Variables'!$B$5)/VLOOKUP(B16,Operations[],9,FALSE)*C16,2)))</f>
        <v>0</v>
      </c>
      <c r="G16" s="14">
        <f>IF(B16=0,0,IF(C16&gt;9999,"",ROUND(VLOOKUP(VLOOKUP(B16,Operations[],11,FALSE),PowerUnits[],10,FALSE)/VLOOKUP(B16,Operations[],9,FALSE)*C16,2)))</f>
        <v>0</v>
      </c>
      <c r="H16" s="14" t="str">
        <f>IF(B16=0,"",IF(C16&gt;9999,"",ROUND(VLOOKUP($B16,Operations[],15,FALSE)*C16,2)))</f>
        <v/>
      </c>
      <c r="I16" s="14">
        <f>IF(B16=0,0,IF(C16&gt;9999,"",ROUND(VLOOKUP(VLOOKUP(B16,Operations[],11,FALSE),PowerUnits[],16,FALSE)/VLOOKUP(B16,Operations[],9,FALSE)*C16,2)))</f>
        <v>0</v>
      </c>
      <c r="J16" s="14" t="str">
        <f>IF(B16=0,"",IF(C16&gt;9999,"",ROUND(VLOOKUP($B16,Operations[],21,FALSE)*$C16,2)))</f>
        <v/>
      </c>
      <c r="K16" s="14">
        <f t="shared" si="0"/>
        <v>0</v>
      </c>
      <c r="L16" s="33"/>
    </row>
    <row r="17" spans="1:12">
      <c r="A17" s="62">
        <v>11</v>
      </c>
      <c r="B17" s="254"/>
      <c r="C17" s="133"/>
      <c r="D17" s="256"/>
      <c r="E17" s="14" t="str">
        <f>IF(B17=0,"",IF(C17&gt;9999,"",ROUND('General Variables'!$B$2*VLOOKUP(B17,Operations[],10,FALSE)/VLOOKUP(B17,Operations[],9,FALSE)*C17,2)))</f>
        <v/>
      </c>
      <c r="F17" s="14">
        <f>IF(B17=0,0,IF(C17&gt;9999,"",ROUND(IF(VLOOKUP(B17,Operations[],12,FALSE)=0,VLOOKUP(B17,Operations[],13,FALSE)*'General Variables'!$B$6,VLOOKUP(B17,Operations[],12,FALSE)*'General Variables'!$B$5)/VLOOKUP(B17,Operations[],9,FALSE)*C17,2)))</f>
        <v>0</v>
      </c>
      <c r="G17" s="14">
        <f>IF(B17=0,0,IF(C17&gt;9999,"",ROUND(VLOOKUP(VLOOKUP(B17,Operations[],11,FALSE),PowerUnits[],10,FALSE)/VLOOKUP(B17,Operations[],9,FALSE)*C17,2)))</f>
        <v>0</v>
      </c>
      <c r="H17" s="14" t="str">
        <f>IF(B17=0,"",IF(C17&gt;9999,"",ROUND(VLOOKUP($B17,Operations[],15,FALSE)*C17,2)))</f>
        <v/>
      </c>
      <c r="I17" s="14">
        <f>IF(B17=0,0,IF(C17&gt;9999,"",ROUND(VLOOKUP(VLOOKUP(B17,Operations[],11,FALSE),PowerUnits[],16,FALSE)/VLOOKUP(B17,Operations[],9,FALSE)*C17,2)))</f>
        <v>0</v>
      </c>
      <c r="J17" s="14" t="str">
        <f>IF(B17=0,"",IF(C17&gt;9999,"",ROUND(VLOOKUP($B17,Operations[],21,FALSE)*$C17,2)))</f>
        <v/>
      </c>
      <c r="K17" s="14">
        <f t="shared" si="0"/>
        <v>0</v>
      </c>
      <c r="L17" s="33"/>
    </row>
    <row r="18" spans="1:12">
      <c r="A18" s="62">
        <v>12</v>
      </c>
      <c r="B18" s="254"/>
      <c r="C18" s="133"/>
      <c r="D18" s="256"/>
      <c r="E18" s="14" t="str">
        <f>IF(B18=0,"",IF(C18&gt;9999,"",ROUND('General Variables'!$B$2*VLOOKUP(B18,Operations[],10,FALSE)/VLOOKUP(B18,Operations[],9,FALSE)*C18,2)))</f>
        <v/>
      </c>
      <c r="F18" s="14">
        <f>IF(B18=0,0,IF(C18&gt;9999,"",ROUND(IF(VLOOKUP(B18,Operations[],12,FALSE)=0,VLOOKUP(B18,Operations[],13,FALSE)*'General Variables'!$B$6,VLOOKUP(B18,Operations[],12,FALSE)*'General Variables'!$B$5)/VLOOKUP(B18,Operations[],9,FALSE)*C18,2)))</f>
        <v>0</v>
      </c>
      <c r="G18" s="14">
        <f>IF(B18=0,0,IF(C18&gt;9999,"",ROUND(VLOOKUP(VLOOKUP(B18,Operations[],11,FALSE),PowerUnits[],10,FALSE)/VLOOKUP(B18,Operations[],9,FALSE)*C18,2)))</f>
        <v>0</v>
      </c>
      <c r="H18" s="14" t="str">
        <f>IF(B18=0,"",IF(C18&gt;9999,"",ROUND(VLOOKUP($B18,Operations[],15,FALSE)*C18,2)))</f>
        <v/>
      </c>
      <c r="I18" s="14">
        <f>IF(B18=0,0,IF(C18&gt;9999,"",ROUND(VLOOKUP(VLOOKUP(B18,Operations[],11,FALSE),PowerUnits[],16,FALSE)/VLOOKUP(B18,Operations[],9,FALSE)*C18,2)))</f>
        <v>0</v>
      </c>
      <c r="J18" s="14" t="str">
        <f>IF(B18=0,"",IF(C18&gt;9999,"",ROUND(VLOOKUP($B18,Operations[],21,FALSE)*$C18,2)))</f>
        <v/>
      </c>
      <c r="K18" s="14">
        <f t="shared" si="0"/>
        <v>0</v>
      </c>
      <c r="L18" s="33"/>
    </row>
    <row r="19" spans="1:12">
      <c r="A19" s="62">
        <v>13</v>
      </c>
      <c r="B19" s="254"/>
      <c r="C19" s="133"/>
      <c r="D19" s="256"/>
      <c r="E19" s="14" t="str">
        <f>IF(B19=0,"",IF(C19&gt;9999,"",ROUND('General Variables'!$B$2*VLOOKUP(B19,Operations[],10,FALSE)/VLOOKUP(B19,Operations[],9,FALSE)*C19,2)))</f>
        <v/>
      </c>
      <c r="F19" s="14">
        <f>IF(B19=0,0,IF(C19&gt;9999,"",ROUND(IF(VLOOKUP(B19,Operations[],12,FALSE)=0,VLOOKUP(B19,Operations[],13,FALSE)*'General Variables'!$B$6,VLOOKUP(B19,Operations[],12,FALSE)*'General Variables'!$B$5)/VLOOKUP(B19,Operations[],9,FALSE)*C19,2)))</f>
        <v>0</v>
      </c>
      <c r="G19" s="14">
        <f>IF(B19=0,0,IF(C19&gt;9999,"",ROUND(VLOOKUP(VLOOKUP(B19,Operations[],11,FALSE),PowerUnits[],10,FALSE)/VLOOKUP(B19,Operations[],9,FALSE)*C19,2)))</f>
        <v>0</v>
      </c>
      <c r="H19" s="14" t="str">
        <f>IF(B19=0,"",IF(C19&gt;9999,"",ROUND(VLOOKUP($B19,Operations[],15,FALSE)*C19,2)))</f>
        <v/>
      </c>
      <c r="I19" s="14">
        <f>IF(B19=0,0,IF(C19&gt;9999,"",ROUND(VLOOKUP(VLOOKUP(B19,Operations[],11,FALSE),PowerUnits[],16,FALSE)/VLOOKUP(B19,Operations[],9,FALSE)*C19,2)))</f>
        <v>0</v>
      </c>
      <c r="J19" s="14" t="str">
        <f>IF(B19=0,"",IF(C19&gt;9999,"",ROUND(VLOOKUP($B19,Operations[],21,FALSE)*$C19,2)))</f>
        <v/>
      </c>
      <c r="K19" s="14">
        <f t="shared" si="0"/>
        <v>0</v>
      </c>
      <c r="L19" s="33"/>
    </row>
    <row r="20" spans="1:12">
      <c r="A20" s="62">
        <v>14</v>
      </c>
      <c r="B20" s="255"/>
      <c r="C20" s="134"/>
      <c r="D20" s="256"/>
      <c r="E20" s="14" t="str">
        <f>IF(B20=0,"",IF(C20&gt;9999,"",ROUND('General Variables'!$B$2*VLOOKUP(B20,Operations[],10,FALSE)/VLOOKUP(B20,Operations[],9,FALSE)*C20,2)))</f>
        <v/>
      </c>
      <c r="F20" s="14">
        <f>IF(B20=0,0,IF(C20&gt;9999,"",ROUND(IF(VLOOKUP(B20,Operations[],12,FALSE)=0,VLOOKUP(B20,Operations[],13,FALSE)*'General Variables'!$B$6,VLOOKUP(B20,Operations[],12,FALSE)*'General Variables'!$B$5)/VLOOKUP(B20,Operations[],9,FALSE)*C20,2)))</f>
        <v>0</v>
      </c>
      <c r="G20" s="14">
        <f>IF(B20=0,0,IF(C20&gt;9999,"",ROUND(VLOOKUP(VLOOKUP(B20,Operations[],11,FALSE),PowerUnits[],10,FALSE)/VLOOKUP(B20,Operations[],9,FALSE)*C20,2)))</f>
        <v>0</v>
      </c>
      <c r="H20" s="14" t="str">
        <f>IF(B20=0,"",IF(C20&gt;9999,"",ROUND(VLOOKUP($B20,Operations[],15,FALSE)*C20,2)))</f>
        <v/>
      </c>
      <c r="I20" s="14">
        <f>IF(B20=0,0,IF(C20&gt;9999,"",ROUND(VLOOKUP(VLOOKUP(B20,Operations[],11,FALSE),PowerUnits[],16,FALSE)/VLOOKUP(B20,Operations[],9,FALSE)*C20,2)))</f>
        <v>0</v>
      </c>
      <c r="J20" s="14" t="str">
        <f>IF(B20=0,"",IF(C20&gt;9999,"",ROUND(VLOOKUP($B20,Operations[],21,FALSE)*$C20,2)))</f>
        <v/>
      </c>
      <c r="K20" s="14">
        <f t="shared" si="0"/>
        <v>0</v>
      </c>
      <c r="L20" s="33"/>
    </row>
    <row r="21" spans="1:12">
      <c r="A21" s="62">
        <v>15</v>
      </c>
      <c r="B21" s="255"/>
      <c r="C21" s="134"/>
      <c r="D21" s="256"/>
      <c r="E21" s="14" t="str">
        <f>IF(B21=0,"",IF(C21&gt;9999,"",ROUND('General Variables'!$B$2*VLOOKUP(B21,Operations[],10,FALSE)/VLOOKUP(B21,Operations[],9,FALSE)*C21,2)))</f>
        <v/>
      </c>
      <c r="F21" s="14">
        <f>IF(B21=0,0,IF(C21&gt;9999,"",ROUND(IF(VLOOKUP(B21,Operations[],12,FALSE)=0,VLOOKUP(B21,Operations[],13,FALSE)*'General Variables'!$B$6,VLOOKUP(B21,Operations[],12,FALSE)*'General Variables'!$B$5)/VLOOKUP(B21,Operations[],9,FALSE)*C21,2)))</f>
        <v>0</v>
      </c>
      <c r="G21" s="14">
        <f>IF(B21=0,0,IF(C21&gt;9999,"",ROUND(VLOOKUP(VLOOKUP(B21,Operations[],11,FALSE),PowerUnits[],10,FALSE)/VLOOKUP(B21,Operations[],9,FALSE)*C21,2)))</f>
        <v>0</v>
      </c>
      <c r="H21" s="14" t="str">
        <f>IF(B21=0,"",IF(C21&gt;9999,"",ROUND(VLOOKUP($B21,Operations[],15,FALSE)*C21,2)))</f>
        <v/>
      </c>
      <c r="I21" s="14">
        <f>IF(B21=0,0,IF(C21&gt;9999,"",ROUND(VLOOKUP(VLOOKUP(B21,Operations[],11,FALSE),PowerUnits[],16,FALSE)/VLOOKUP(B21,Operations[],9,FALSE)*C21,2)))</f>
        <v>0</v>
      </c>
      <c r="J21" s="14" t="str">
        <f>IF(B21=0,"",IF(C21&gt;9999,"",ROUND(VLOOKUP($B21,Operations[],21,FALSE)*$C21,2)))</f>
        <v/>
      </c>
      <c r="K21" s="14">
        <f t="shared" si="0"/>
        <v>0</v>
      </c>
      <c r="L21" s="33"/>
    </row>
    <row r="22" spans="1:12">
      <c r="A22" s="62">
        <v>16</v>
      </c>
      <c r="B22" s="255"/>
      <c r="C22" s="134"/>
      <c r="D22" s="256"/>
      <c r="E22" s="14" t="str">
        <f>IF(B22=0,"",IF(C22&gt;9999,"",ROUND('General Variables'!$B$2*VLOOKUP(B22,Operations[],10,FALSE)/VLOOKUP(B22,Operations[],9,FALSE)*C22,2)))</f>
        <v/>
      </c>
      <c r="F22" s="14">
        <f>IF(B22=0,0,IF(C22&gt;9999,"",ROUND(IF(VLOOKUP(B22,Operations[],12,FALSE)=0,VLOOKUP(B22,Operations[],13,FALSE)*'General Variables'!$B$6,VLOOKUP(B22,Operations[],12,FALSE)*'General Variables'!$B$5)/VLOOKUP(B22,Operations[],9,FALSE)*C22,2)))</f>
        <v>0</v>
      </c>
      <c r="G22" s="14">
        <f>IF(B22=0,0,IF(C22&gt;9999,"",ROUND(VLOOKUP(VLOOKUP(B22,Operations[],11,FALSE),PowerUnits[],10,FALSE)/VLOOKUP(B22,Operations[],9,FALSE)*C22,2)))</f>
        <v>0</v>
      </c>
      <c r="H22" s="14" t="str">
        <f>IF(B22=0,"",IF(C22&gt;9999,"",ROUND(VLOOKUP($B22,Operations[],15,FALSE)*C22,2)))</f>
        <v/>
      </c>
      <c r="I22" s="14">
        <f>IF(B22=0,0,IF(C22&gt;9999,"",ROUND(VLOOKUP(VLOOKUP(B22,Operations[],11,FALSE),PowerUnits[],16,FALSE)/VLOOKUP(B22,Operations[],9,FALSE)*C22,2)))</f>
        <v>0</v>
      </c>
      <c r="J22" s="14" t="str">
        <f>IF(B22=0,"",IF(C22&gt;9999,"",ROUND(VLOOKUP($B22,Operations[],21,FALSE)*$C22,2)))</f>
        <v/>
      </c>
      <c r="K22" s="14">
        <f t="shared" si="0"/>
        <v>0</v>
      </c>
      <c r="L22" s="33"/>
    </row>
    <row r="23" spans="1:12">
      <c r="A23" s="62">
        <v>17</v>
      </c>
      <c r="B23" s="255"/>
      <c r="C23" s="134"/>
      <c r="D23" s="256"/>
      <c r="E23" s="14" t="str">
        <f>IF(B23=0,"",IF(C23&gt;9999,"",ROUND('General Variables'!$B$2*VLOOKUP(B23,Operations[],10,FALSE)/VLOOKUP(B23,Operations[],9,FALSE)*C23,2)))</f>
        <v/>
      </c>
      <c r="F23" s="14">
        <f>IF(B23=0,0,IF(C23&gt;9999,"",ROUND(IF(VLOOKUP(B23,Operations[],12,FALSE)=0,VLOOKUP(B23,Operations[],13,FALSE)*'General Variables'!$B$6,VLOOKUP(B23,Operations[],12,FALSE)*'General Variables'!$B$5)/VLOOKUP(B23,Operations[],9,FALSE)*C23,2)))</f>
        <v>0</v>
      </c>
      <c r="G23" s="14">
        <f>IF(B23=0,0,IF(C23&gt;9999,"",ROUND(VLOOKUP(VLOOKUP(B23,Operations[],11,FALSE),PowerUnits[],10,FALSE)/VLOOKUP(B23,Operations[],9,FALSE)*C23,2)))</f>
        <v>0</v>
      </c>
      <c r="H23" s="14" t="str">
        <f>IF(B23=0,"",IF(C23&gt;9999,"",ROUND(VLOOKUP($B23,Operations[],15,FALSE)*C23,2)))</f>
        <v/>
      </c>
      <c r="I23" s="14">
        <f>IF(B23=0,0,IF(C23&gt;9999,"",ROUND(VLOOKUP(VLOOKUP(B23,Operations[],11,FALSE),PowerUnits[],16,FALSE)/VLOOKUP(B23,Operations[],9,FALSE)*C23,2)))</f>
        <v>0</v>
      </c>
      <c r="J23" s="14" t="str">
        <f>IF(B23=0,"",IF(C23&gt;9999,"",ROUND(VLOOKUP($B23,Operations[],21,FALSE)*$C23,2)))</f>
        <v/>
      </c>
      <c r="K23" s="14">
        <f t="shared" si="0"/>
        <v>0</v>
      </c>
      <c r="L23" s="33"/>
    </row>
    <row r="24" spans="1:12">
      <c r="A24" s="62">
        <v>18</v>
      </c>
      <c r="B24" s="255"/>
      <c r="C24" s="134"/>
      <c r="D24" s="256"/>
      <c r="E24" s="14" t="str">
        <f>IF(B24=0,"",IF(C24&gt;9999,"",ROUND('General Variables'!$B$2*VLOOKUP(B24,Operations[],10,FALSE)/VLOOKUP(B24,Operations[],9,FALSE)*C24,2)))</f>
        <v/>
      </c>
      <c r="F24" s="14">
        <f>IF(B24=0,0,IF(C24&gt;9999,"",ROUND(IF(VLOOKUP(B24,Operations[],12,FALSE)=0,VLOOKUP(B24,Operations[],13,FALSE)*'General Variables'!$B$6,VLOOKUP(B24,Operations[],12,FALSE)*'General Variables'!$B$5)/VLOOKUP(B24,Operations[],9,FALSE)*C24,2)))</f>
        <v>0</v>
      </c>
      <c r="G24" s="14">
        <f>IF(B24=0,0,IF(C24&gt;9999,"",ROUND(VLOOKUP(VLOOKUP(B24,Operations[],11,FALSE),PowerUnits[],10,FALSE)/VLOOKUP(B24,Operations[],9,FALSE)*C24,2)))</f>
        <v>0</v>
      </c>
      <c r="H24" s="14" t="str">
        <f>IF(B24=0,"",IF(C24&gt;9999,"",ROUND(VLOOKUP($B24,Operations[],15,FALSE)*C24,2)))</f>
        <v/>
      </c>
      <c r="I24" s="14">
        <f>IF(B24=0,0,IF(C24&gt;9999,"",ROUND(VLOOKUP(VLOOKUP(B24,Operations[],11,FALSE),PowerUnits[],16,FALSE)/VLOOKUP(B24,Operations[],9,FALSE)*C24,2)))</f>
        <v>0</v>
      </c>
      <c r="J24" s="14" t="str">
        <f>IF(B24=0,"",IF(C24&gt;9999,"",ROUND(VLOOKUP($B24,Operations[],21,FALSE)*$C24,2)))</f>
        <v/>
      </c>
      <c r="K24" s="14">
        <f t="shared" si="0"/>
        <v>0</v>
      </c>
      <c r="L24" s="33"/>
    </row>
    <row r="25" spans="1:12">
      <c r="A25" s="62">
        <v>19</v>
      </c>
      <c r="B25" s="255"/>
      <c r="C25" s="134"/>
      <c r="D25" s="256"/>
      <c r="E25" s="14" t="str">
        <f>IF(B25=0,"",IF(C25&gt;9999,"",ROUND('General Variables'!$B$2*VLOOKUP(B25,Operations[],10,FALSE)/VLOOKUP(B25,Operations[],9,FALSE)*C25,2)))</f>
        <v/>
      </c>
      <c r="F25" s="14">
        <f>IF(B25=0,0,IF(C25&gt;9999,"",ROUND(IF(VLOOKUP(B25,Operations[],12,FALSE)=0,VLOOKUP(B25,Operations[],13,FALSE)*'General Variables'!$B$6,VLOOKUP(B25,Operations[],12,FALSE)*'General Variables'!$B$5)/VLOOKUP(B25,Operations[],9,FALSE)*C25,2)))</f>
        <v>0</v>
      </c>
      <c r="G25" s="14">
        <f>IF(B25=0,0,IF(C25&gt;9999,"",ROUND(VLOOKUP(VLOOKUP(B25,Operations[],11,FALSE),PowerUnits[],10,FALSE)/VLOOKUP(B25,Operations[],9,FALSE)*C25,2)))</f>
        <v>0</v>
      </c>
      <c r="H25" s="14" t="str">
        <f>IF(B25=0,"",IF(C25&gt;9999,"",ROUND(VLOOKUP($B25,Operations[],15,FALSE)*C25,2)))</f>
        <v/>
      </c>
      <c r="I25" s="14">
        <f>IF(B25=0,0,IF(C25&gt;9999,"",ROUND(VLOOKUP(VLOOKUP(B25,Operations[],11,FALSE),PowerUnits[],16,FALSE)/VLOOKUP(B25,Operations[],9,FALSE)*C25,2)))</f>
        <v>0</v>
      </c>
      <c r="J25" s="14" t="str">
        <f>IF(B25=0,"",IF(C25&gt;9999,"",ROUND(VLOOKUP($B25,Operations[],21,FALSE)*$C25,2)))</f>
        <v/>
      </c>
      <c r="K25" s="14">
        <f t="shared" si="0"/>
        <v>0</v>
      </c>
      <c r="L25" s="76"/>
    </row>
    <row r="26" spans="1:12">
      <c r="A26" s="62">
        <v>20</v>
      </c>
      <c r="B26" s="255"/>
      <c r="C26" s="134"/>
      <c r="D26" s="256"/>
      <c r="E26" s="14" t="str">
        <f>IF(B26=0,"",IF(C26&gt;9999,"",ROUND('General Variables'!$B$2*VLOOKUP(B26,Operations[],10,FALSE)/VLOOKUP(B26,Operations[],9,FALSE)*C26,2)))</f>
        <v/>
      </c>
      <c r="F26" s="14">
        <f>IF(B26=0,0,IF(C26&gt;9999,"",ROUND(IF(VLOOKUP(B26,Operations[],12,FALSE)=0,VLOOKUP(B26,Operations[],13,FALSE)*'General Variables'!$B$6,VLOOKUP(B26,Operations[],12,FALSE)*'General Variables'!$B$5)/VLOOKUP(B26,Operations[],9,FALSE)*C26,2)))</f>
        <v>0</v>
      </c>
      <c r="G26" s="14">
        <f>IF(B26=0,0,IF(C26&gt;9999,"",ROUND(VLOOKUP(VLOOKUP(B26,Operations[],11,FALSE),PowerUnits[],10,FALSE)/VLOOKUP(B26,Operations[],9,FALSE)*C26,2)))</f>
        <v>0</v>
      </c>
      <c r="H26" s="14" t="str">
        <f>IF(B26=0,"",IF(C26&gt;9999,"",ROUND(VLOOKUP($B26,Operations[],15,FALSE)*C26,2)))</f>
        <v/>
      </c>
      <c r="I26" s="14">
        <f>IF(B26=0,0,IF(C26&gt;9999,"",ROUND(VLOOKUP(VLOOKUP(B26,Operations[],11,FALSE),PowerUnits[],16,FALSE)/VLOOKUP(B26,Operations[],9,FALSE)*C26,2)))</f>
        <v>0</v>
      </c>
      <c r="J26" s="14" t="str">
        <f>IF(B26=0,"",IF(C26&gt;9999,"",ROUND(VLOOKUP($B26,Operations[],21,FALSE)*$C26,2)))</f>
        <v/>
      </c>
      <c r="K26" s="14">
        <f t="shared" si="0"/>
        <v>0</v>
      </c>
      <c r="L26" s="63"/>
    </row>
    <row r="27" spans="1:12" ht="3" customHeight="1" thickBot="1">
      <c r="A27" s="73"/>
      <c r="B27" s="77"/>
      <c r="C27" s="78"/>
      <c r="D27" s="78"/>
      <c r="E27" s="7"/>
      <c r="F27" s="7"/>
      <c r="G27" s="7"/>
      <c r="H27" s="7"/>
      <c r="I27" s="7"/>
      <c r="J27" s="7"/>
      <c r="K27" s="7"/>
      <c r="L27" s="65"/>
    </row>
    <row r="28" spans="1:12" ht="13.5" thickTop="1">
      <c r="C28" s="3" t="s">
        <v>95</v>
      </c>
      <c r="D28" s="3"/>
      <c r="E28" s="6">
        <f>SUM(E7:E26)</f>
        <v>0</v>
      </c>
      <c r="F28" s="6">
        <f t="shared" ref="F28:K28" si="2">SUM(F7:F26)</f>
        <v>0</v>
      </c>
      <c r="G28" s="6">
        <f t="shared" si="2"/>
        <v>0</v>
      </c>
      <c r="H28" s="6">
        <f t="shared" si="2"/>
        <v>0</v>
      </c>
      <c r="I28" s="6">
        <f t="shared" si="2"/>
        <v>0</v>
      </c>
      <c r="J28" s="6">
        <f t="shared" si="2"/>
        <v>0</v>
      </c>
      <c r="K28" s="6">
        <f t="shared" si="2"/>
        <v>0</v>
      </c>
      <c r="L28" s="33"/>
    </row>
    <row r="30" spans="1:12" ht="24" customHeight="1" thickBot="1">
      <c r="B30" s="63"/>
      <c r="C30" s="63"/>
      <c r="D30" s="63"/>
      <c r="E30" s="63"/>
      <c r="F30" s="275" t="s">
        <v>109</v>
      </c>
      <c r="G30" s="275" t="s">
        <v>106</v>
      </c>
      <c r="H30" s="274" t="s">
        <v>110</v>
      </c>
      <c r="I30" s="274"/>
      <c r="J30" s="275" t="s">
        <v>81</v>
      </c>
      <c r="L30" s="274" t="s">
        <v>438</v>
      </c>
    </row>
    <row r="31" spans="1:12" s="5" customFormat="1" ht="14.25" thickTop="1" thickBot="1">
      <c r="B31" s="4" t="s">
        <v>105</v>
      </c>
      <c r="C31" s="75"/>
      <c r="D31" s="75"/>
      <c r="E31" s="75"/>
      <c r="F31" s="275"/>
      <c r="G31" s="275"/>
      <c r="H31" s="75" t="s">
        <v>111</v>
      </c>
      <c r="I31" s="75" t="s">
        <v>89</v>
      </c>
      <c r="J31" s="275"/>
      <c r="K31" s="61" t="s">
        <v>107</v>
      </c>
      <c r="L31" s="275"/>
    </row>
    <row r="32" spans="1:12" ht="13.5" thickTop="1">
      <c r="A32" s="21"/>
      <c r="B32" s="254"/>
      <c r="C32" s="278" t="str">
        <f>IF(B32=0,"",VLOOKUP($B32,Materials[],2,FALSE))</f>
        <v/>
      </c>
      <c r="D32" s="278"/>
      <c r="E32" s="278"/>
      <c r="F32" s="133"/>
      <c r="G32" s="136"/>
      <c r="H32" s="137"/>
      <c r="I32" s="8" t="str">
        <f>IF($B32=0,"",VLOOKUP($B32,Materials[],5,FALSE))</f>
        <v/>
      </c>
      <c r="J32" s="10" t="str">
        <f>IF($B32=0,"",VLOOKUP($B32,Materials[],7,FALSE))</f>
        <v/>
      </c>
      <c r="K32" s="6">
        <f>IF(B32=0,0,ROUND(G32*H32*J32,2))</f>
        <v>0</v>
      </c>
      <c r="L32" s="33"/>
    </row>
    <row r="33" spans="1:12">
      <c r="A33" s="21"/>
      <c r="B33" s="254"/>
      <c r="C33" s="278" t="str">
        <f>IF(B33=0,"",VLOOKUP($B33,Materials[],2,FALSE))</f>
        <v/>
      </c>
      <c r="D33" s="278"/>
      <c r="E33" s="278"/>
      <c r="F33" s="133"/>
      <c r="G33" s="136"/>
      <c r="H33" s="137"/>
      <c r="I33" s="8" t="str">
        <f>IF($B33=0,"",VLOOKUP($B33,Materials[],5,FALSE))</f>
        <v/>
      </c>
      <c r="J33" s="10" t="str">
        <f>IF($B33=0,"",VLOOKUP($B33,Materials[],7,FALSE))</f>
        <v/>
      </c>
      <c r="K33" s="6">
        <f t="shared" ref="K33:K51" si="3">IF(B33=0,0,ROUND(G33*H33*J33,2))</f>
        <v>0</v>
      </c>
      <c r="L33" s="33"/>
    </row>
    <row r="34" spans="1:12">
      <c r="A34" s="21"/>
      <c r="B34" s="254"/>
      <c r="C34" s="278" t="str">
        <f>IF(B34=0,"",VLOOKUP($B34,Materials[],2,FALSE))</f>
        <v/>
      </c>
      <c r="D34" s="278"/>
      <c r="E34" s="278"/>
      <c r="F34" s="133"/>
      <c r="G34" s="136"/>
      <c r="H34" s="137"/>
      <c r="I34" s="8" t="str">
        <f>IF($B34=0,"",VLOOKUP($B34,Materials[],5,FALSE))</f>
        <v/>
      </c>
      <c r="J34" s="10" t="str">
        <f>IF($B34=0,"",VLOOKUP($B34,Materials[],7,FALSE))</f>
        <v/>
      </c>
      <c r="K34" s="6">
        <f t="shared" si="3"/>
        <v>0</v>
      </c>
      <c r="L34" s="33"/>
    </row>
    <row r="35" spans="1:12">
      <c r="A35" s="21"/>
      <c r="B35" s="254"/>
      <c r="C35" s="278" t="str">
        <f>IF(B35=0,"",VLOOKUP($B35,Materials[],2,FALSE))</f>
        <v/>
      </c>
      <c r="D35" s="278"/>
      <c r="E35" s="278"/>
      <c r="F35" s="133"/>
      <c r="G35" s="136"/>
      <c r="H35" s="137"/>
      <c r="I35" s="8" t="str">
        <f>IF($B35=0,"",VLOOKUP($B35,Materials[],5,FALSE))</f>
        <v/>
      </c>
      <c r="J35" s="10" t="str">
        <f>IF($B35=0,"",VLOOKUP($B35,Materials[],7,FALSE))</f>
        <v/>
      </c>
      <c r="K35" s="6">
        <f t="shared" si="3"/>
        <v>0</v>
      </c>
      <c r="L35" s="33"/>
    </row>
    <row r="36" spans="1:12">
      <c r="A36" s="21"/>
      <c r="B36" s="254"/>
      <c r="C36" s="278" t="str">
        <f>IF(B36=0,"",VLOOKUP($B36,Materials[],2,FALSE))</f>
        <v/>
      </c>
      <c r="D36" s="278"/>
      <c r="E36" s="278"/>
      <c r="F36" s="133"/>
      <c r="G36" s="136"/>
      <c r="H36" s="138"/>
      <c r="I36" s="8" t="str">
        <f>IF($B36=0,"",VLOOKUP($B36,Materials[],5,FALSE))</f>
        <v/>
      </c>
      <c r="J36" s="10" t="str">
        <f>IF($B36=0,"",VLOOKUP($B36,Materials[],7,FALSE))</f>
        <v/>
      </c>
      <c r="K36" s="6">
        <f t="shared" si="3"/>
        <v>0</v>
      </c>
      <c r="L36" s="33"/>
    </row>
    <row r="37" spans="1:12">
      <c r="A37" s="21"/>
      <c r="B37" s="254"/>
      <c r="C37" s="278" t="str">
        <f>IF(B37=0,"",VLOOKUP($B37,Materials[],2,FALSE))</f>
        <v/>
      </c>
      <c r="D37" s="278"/>
      <c r="E37" s="278"/>
      <c r="F37" s="133"/>
      <c r="G37" s="136"/>
      <c r="H37" s="138"/>
      <c r="I37" s="8" t="str">
        <f>IF($B37=0,"",VLOOKUP($B37,Materials[],5,FALSE))</f>
        <v/>
      </c>
      <c r="J37" s="10" t="str">
        <f>IF($B37=0,"",VLOOKUP($B37,Materials[],7,FALSE))</f>
        <v/>
      </c>
      <c r="K37" s="6">
        <f t="shared" si="3"/>
        <v>0</v>
      </c>
      <c r="L37" s="33"/>
    </row>
    <row r="38" spans="1:12">
      <c r="A38" s="48"/>
      <c r="B38" s="254"/>
      <c r="C38" s="278" t="str">
        <f>IF(B38=0,"",VLOOKUP($B38,Materials[],2,FALSE))</f>
        <v/>
      </c>
      <c r="D38" s="278"/>
      <c r="E38" s="278"/>
      <c r="F38" s="133"/>
      <c r="G38" s="136"/>
      <c r="H38" s="137"/>
      <c r="I38" s="8" t="str">
        <f>IF($B38=0,"",VLOOKUP($B38,Materials[],5,FALSE))</f>
        <v/>
      </c>
      <c r="J38" s="10" t="str">
        <f>IF($B38=0,"",VLOOKUP($B38,Materials[],7,FALSE))</f>
        <v/>
      </c>
      <c r="K38" s="6">
        <f t="shared" si="3"/>
        <v>0</v>
      </c>
      <c r="L38" s="33"/>
    </row>
    <row r="39" spans="1:12">
      <c r="A39" s="48"/>
      <c r="B39" s="254"/>
      <c r="C39" s="278" t="str">
        <f>IF(B39=0,"",VLOOKUP($B39,Materials[],2,FALSE))</f>
        <v/>
      </c>
      <c r="D39" s="278"/>
      <c r="E39" s="278"/>
      <c r="F39" s="133"/>
      <c r="G39" s="136"/>
      <c r="H39" s="137"/>
      <c r="I39" s="8" t="str">
        <f>IF($B39=0,"",VLOOKUP($B39,Materials[],5,FALSE))</f>
        <v/>
      </c>
      <c r="J39" s="10" t="str">
        <f>IF($B39=0,"",VLOOKUP($B39,Materials[],7,FALSE))</f>
        <v/>
      </c>
      <c r="K39" s="6">
        <f t="shared" si="3"/>
        <v>0</v>
      </c>
      <c r="L39" s="33"/>
    </row>
    <row r="40" spans="1:12">
      <c r="A40" s="48"/>
      <c r="B40" s="254"/>
      <c r="C40" s="278" t="str">
        <f>IF(B40=0,"",VLOOKUP($B40,Materials[],2,FALSE))</f>
        <v/>
      </c>
      <c r="D40" s="278"/>
      <c r="E40" s="278"/>
      <c r="F40" s="133"/>
      <c r="G40" s="136"/>
      <c r="H40" s="137"/>
      <c r="I40" s="8" t="str">
        <f>IF($B40=0,"",VLOOKUP($B40,Materials[],5,FALSE))</f>
        <v/>
      </c>
      <c r="J40" s="10" t="str">
        <f>IF($B40=0,"",VLOOKUP($B40,Materials[],7,FALSE))</f>
        <v/>
      </c>
      <c r="K40" s="6">
        <f t="shared" si="3"/>
        <v>0</v>
      </c>
      <c r="L40" s="33"/>
    </row>
    <row r="41" spans="1:12">
      <c r="A41" s="48"/>
      <c r="B41" s="254"/>
      <c r="C41" s="278" t="str">
        <f>IF(B41=0,"",VLOOKUP($B41,Materials[],2,FALSE))</f>
        <v/>
      </c>
      <c r="D41" s="278"/>
      <c r="E41" s="278"/>
      <c r="F41" s="133"/>
      <c r="G41" s="136"/>
      <c r="H41" s="137"/>
      <c r="I41" s="8" t="str">
        <f>IF($B41=0,"",VLOOKUP($B41,Materials[],5,FALSE))</f>
        <v/>
      </c>
      <c r="J41" s="10" t="str">
        <f>IF($B41=0,"",VLOOKUP($B41,Materials[],7,FALSE))</f>
        <v/>
      </c>
      <c r="K41" s="6">
        <f t="shared" si="3"/>
        <v>0</v>
      </c>
      <c r="L41" s="33"/>
    </row>
    <row r="42" spans="1:12">
      <c r="A42" s="48"/>
      <c r="B42" s="254"/>
      <c r="C42" s="278" t="str">
        <f>IF(B42=0,"",VLOOKUP($B42,Materials[],2,FALSE))</f>
        <v/>
      </c>
      <c r="D42" s="278"/>
      <c r="E42" s="278"/>
      <c r="F42" s="133"/>
      <c r="G42" s="136"/>
      <c r="H42" s="137"/>
      <c r="I42" s="8" t="str">
        <f>IF($B42=0,"",VLOOKUP($B42,Materials[],5,FALSE))</f>
        <v/>
      </c>
      <c r="J42" s="10" t="str">
        <f>IF($B42=0,"",VLOOKUP($B42,Materials[],7,FALSE))</f>
        <v/>
      </c>
      <c r="K42" s="6">
        <f t="shared" si="3"/>
        <v>0</v>
      </c>
      <c r="L42" s="33"/>
    </row>
    <row r="43" spans="1:12">
      <c r="A43" s="21"/>
      <c r="B43" s="254"/>
      <c r="C43" s="278" t="str">
        <f>IF(B43=0,"",VLOOKUP($B43,Materials[],2,FALSE))</f>
        <v/>
      </c>
      <c r="D43" s="278"/>
      <c r="E43" s="278"/>
      <c r="F43" s="133"/>
      <c r="G43" s="136"/>
      <c r="H43" s="137"/>
      <c r="I43" s="8" t="str">
        <f>IF($B43=0,"",VLOOKUP($B43,Materials[],5,FALSE))</f>
        <v/>
      </c>
      <c r="J43" s="10" t="str">
        <f>IF($B43=0,"",VLOOKUP($B43,Materials[],7,FALSE))</f>
        <v/>
      </c>
      <c r="K43" s="6">
        <f t="shared" si="3"/>
        <v>0</v>
      </c>
      <c r="L43" s="33"/>
    </row>
    <row r="44" spans="1:12">
      <c r="A44" s="21"/>
      <c r="B44" s="254"/>
      <c r="C44" s="278" t="str">
        <f>IF(B44=0,"",VLOOKUP($B44,Materials[],2,FALSE))</f>
        <v/>
      </c>
      <c r="D44" s="278"/>
      <c r="E44" s="278"/>
      <c r="F44" s="133"/>
      <c r="G44" s="136"/>
      <c r="H44" s="137"/>
      <c r="I44" s="8" t="str">
        <f>IF($B44=0,"",VLOOKUP($B44,Materials[],5,FALSE))</f>
        <v/>
      </c>
      <c r="J44" s="10" t="str">
        <f>IF($B44=0,"",VLOOKUP($B44,Materials[],7,FALSE))</f>
        <v/>
      </c>
      <c r="K44" s="6">
        <f t="shared" si="3"/>
        <v>0</v>
      </c>
      <c r="L44" s="33"/>
    </row>
    <row r="45" spans="1:12">
      <c r="B45" s="255"/>
      <c r="C45" s="278" t="str">
        <f>IF(B45=0,"",VLOOKUP($B45,Materials[],2,FALSE))</f>
        <v/>
      </c>
      <c r="D45" s="278"/>
      <c r="E45" s="278"/>
      <c r="F45" s="134"/>
      <c r="G45" s="136"/>
      <c r="H45" s="139"/>
      <c r="I45" s="8" t="str">
        <f>IF($B45=0,"",VLOOKUP($B45,Materials[],5,FALSE))</f>
        <v/>
      </c>
      <c r="J45" s="10" t="str">
        <f>IF($B45=0,"",VLOOKUP($B45,Materials[],7,FALSE))</f>
        <v/>
      </c>
      <c r="K45" s="6">
        <f t="shared" si="3"/>
        <v>0</v>
      </c>
      <c r="L45" s="33"/>
    </row>
    <row r="46" spans="1:12">
      <c r="B46" s="255"/>
      <c r="C46" s="278" t="str">
        <f>IF(B46=0,"",VLOOKUP($B46,Materials[],2,FALSE))</f>
        <v/>
      </c>
      <c r="D46" s="278"/>
      <c r="E46" s="278"/>
      <c r="F46" s="134"/>
      <c r="G46" s="136"/>
      <c r="H46" s="139"/>
      <c r="I46" s="8" t="str">
        <f>IF($B46=0,"",VLOOKUP($B46,Materials[],5,FALSE))</f>
        <v/>
      </c>
      <c r="J46" s="10" t="str">
        <f>IF($B46=0,"",VLOOKUP($B46,Materials[],7,FALSE))</f>
        <v/>
      </c>
      <c r="K46" s="6">
        <f t="shared" si="3"/>
        <v>0</v>
      </c>
      <c r="L46" s="33"/>
    </row>
    <row r="47" spans="1:12">
      <c r="B47" s="255"/>
      <c r="C47" s="278" t="str">
        <f>IF(B47=0,"",VLOOKUP($B47,Materials[],2,FALSE))</f>
        <v/>
      </c>
      <c r="D47" s="278"/>
      <c r="E47" s="278"/>
      <c r="F47" s="134"/>
      <c r="G47" s="140"/>
      <c r="H47" s="139"/>
      <c r="I47" s="8" t="str">
        <f>IF($B47=0,"",VLOOKUP($B47,Materials[],5,FALSE))</f>
        <v/>
      </c>
      <c r="J47" s="10" t="str">
        <f>IF($B47=0,"",VLOOKUP($B47,Materials[],7,FALSE))</f>
        <v/>
      </c>
      <c r="K47" s="6">
        <f t="shared" si="3"/>
        <v>0</v>
      </c>
      <c r="L47" s="33"/>
    </row>
    <row r="48" spans="1:12">
      <c r="B48" s="255"/>
      <c r="C48" s="278" t="str">
        <f>IF(B48=0,"",VLOOKUP($B48,Materials[],2,FALSE))</f>
        <v/>
      </c>
      <c r="D48" s="278"/>
      <c r="E48" s="278"/>
      <c r="F48" s="134"/>
      <c r="G48" s="140"/>
      <c r="H48" s="139"/>
      <c r="I48" s="8" t="str">
        <f>IF($B48=0,"",VLOOKUP($B48,Materials[],5,FALSE))</f>
        <v/>
      </c>
      <c r="J48" s="10" t="str">
        <f>IF($B48=0,"",VLOOKUP($B48,Materials[],7,FALSE))</f>
        <v/>
      </c>
      <c r="K48" s="6">
        <f t="shared" si="3"/>
        <v>0</v>
      </c>
      <c r="L48" s="33"/>
    </row>
    <row r="49" spans="2:12">
      <c r="B49" s="255"/>
      <c r="C49" s="278" t="str">
        <f>IF(B49=0,"",VLOOKUP($B49,Materials[],2,FALSE))</f>
        <v/>
      </c>
      <c r="D49" s="278"/>
      <c r="E49" s="278"/>
      <c r="F49" s="134"/>
      <c r="G49" s="140"/>
      <c r="H49" s="139"/>
      <c r="I49" s="8" t="str">
        <f>IF($B49=0,"",VLOOKUP($B49,Materials[],5,FALSE))</f>
        <v/>
      </c>
      <c r="J49" s="10" t="str">
        <f>IF($B49=0,"",VLOOKUP($B49,Materials[],7,FALSE))</f>
        <v/>
      </c>
      <c r="K49" s="6">
        <f t="shared" si="3"/>
        <v>0</v>
      </c>
      <c r="L49" s="33"/>
    </row>
    <row r="50" spans="2:12">
      <c r="B50" s="255"/>
      <c r="C50" s="278" t="str">
        <f>IF(B50=0,"",VLOOKUP($B50,Materials[],2,FALSE))</f>
        <v/>
      </c>
      <c r="D50" s="278"/>
      <c r="E50" s="278"/>
      <c r="F50" s="134"/>
      <c r="G50" s="140"/>
      <c r="H50" s="139"/>
      <c r="I50" s="8" t="str">
        <f>IF($B50=0,"",VLOOKUP($B50,Materials[],5,FALSE))</f>
        <v/>
      </c>
      <c r="J50" s="10" t="str">
        <f>IF($B50=0,"",VLOOKUP($B50,Materials[],7,FALSE))</f>
        <v/>
      </c>
      <c r="K50" s="6">
        <f t="shared" si="3"/>
        <v>0</v>
      </c>
      <c r="L50" s="76"/>
    </row>
    <row r="51" spans="2:12">
      <c r="B51" s="255"/>
      <c r="C51" s="278" t="str">
        <f>IF(B51=0,"",VLOOKUP($B51,Materials[],2,FALSE))</f>
        <v/>
      </c>
      <c r="D51" s="278"/>
      <c r="E51" s="278"/>
      <c r="F51" s="134"/>
      <c r="G51" s="140"/>
      <c r="H51" s="139"/>
      <c r="I51" s="8" t="str">
        <f>IF($B51=0,"",VLOOKUP($B51,Materials[],5,FALSE))</f>
        <v/>
      </c>
      <c r="J51" s="10" t="str">
        <f>IF($B51=0,"",VLOOKUP($B51,Materials[],7,FALSE))</f>
        <v/>
      </c>
      <c r="K51" s="14">
        <f t="shared" si="3"/>
        <v>0</v>
      </c>
      <c r="L51" s="76"/>
    </row>
    <row r="52" spans="2:12" ht="3.75" customHeight="1" thickBot="1">
      <c r="B52" s="77"/>
      <c r="C52" s="72"/>
      <c r="D52" s="72"/>
      <c r="E52" s="72"/>
      <c r="F52" s="78"/>
      <c r="G52" s="79"/>
      <c r="H52" s="80"/>
      <c r="I52" s="9"/>
      <c r="J52" s="11"/>
      <c r="K52" s="7"/>
      <c r="L52" s="65"/>
    </row>
    <row r="53" spans="2:12" ht="13.5" thickTop="1">
      <c r="C53" s="3" t="s">
        <v>108</v>
      </c>
      <c r="D53" s="3"/>
      <c r="J53" s="6"/>
      <c r="K53" s="6">
        <f>SUM(K32:K51)</f>
        <v>0</v>
      </c>
      <c r="L53" s="33"/>
    </row>
    <row r="54" spans="2:12">
      <c r="B54" s="49"/>
    </row>
    <row r="55" spans="2:12">
      <c r="B55" s="2" t="s">
        <v>112</v>
      </c>
      <c r="K55" s="6">
        <f>K28+K53</f>
        <v>0</v>
      </c>
      <c r="L55" s="33"/>
    </row>
    <row r="56" spans="2:12" ht="13.5" thickBot="1">
      <c r="D56" s="36" t="s">
        <v>439</v>
      </c>
      <c r="E56" s="59">
        <f>SUM($E$28:$H$28)+$K$53</f>
        <v>0</v>
      </c>
      <c r="F56" s="280" t="s">
        <v>440</v>
      </c>
      <c r="G56" s="280"/>
      <c r="H56" s="37">
        <f>'General Variables'!$B$9</f>
        <v>0.08</v>
      </c>
      <c r="I56" s="38" t="str">
        <f>CONCATENATE("for ",TEXT('General Variables'!$B$10,"0.0")," mo.")</f>
        <v>for 6.0 mo.</v>
      </c>
      <c r="K56" s="51">
        <f>ROUND(E56*H56*'General Variables'!$B$10/12,2)</f>
        <v>0</v>
      </c>
      <c r="L56" s="34"/>
    </row>
    <row r="57" spans="2:12" ht="13.5" thickTop="1">
      <c r="B57" s="2" t="s">
        <v>444</v>
      </c>
      <c r="K57" s="6">
        <f>SUM(K55:K56)</f>
        <v>0</v>
      </c>
      <c r="L57" s="33"/>
    </row>
    <row r="59" spans="2:12">
      <c r="B59" s="52" t="s">
        <v>487</v>
      </c>
      <c r="C59" s="35"/>
      <c r="D59" s="35"/>
      <c r="E59" s="35"/>
      <c r="F59" s="35"/>
      <c r="G59" s="35"/>
      <c r="H59" s="35"/>
      <c r="I59" s="35"/>
      <c r="J59" s="35"/>
      <c r="K59" s="53">
        <f>'General Variables'!B12</f>
        <v>5</v>
      </c>
      <c r="L59" s="33"/>
    </row>
    <row r="60" spans="2:12">
      <c r="B60" s="13" t="s">
        <v>447</v>
      </c>
      <c r="C60" s="281"/>
      <c r="D60" s="282"/>
      <c r="E60" s="283"/>
      <c r="F60" s="40">
        <f>IF(C60=0,0,VLOOKUP(C60,RETable,2,FALSE))</f>
        <v>0</v>
      </c>
      <c r="G60" s="280" t="s">
        <v>448</v>
      </c>
      <c r="H60" s="280"/>
      <c r="I60" s="37">
        <f>'General Variables'!$B$8</f>
        <v>0.04</v>
      </c>
      <c r="K60" s="57">
        <f>ROUND(F60*I60,2)</f>
        <v>0</v>
      </c>
      <c r="L60" s="33"/>
    </row>
    <row r="61" spans="2:12" ht="13.5" thickBot="1">
      <c r="B61" s="13" t="s">
        <v>458</v>
      </c>
      <c r="F61" s="54">
        <f>IF(C60=0,0,VLOOKUP(C60,RETable,2,FALSE))</f>
        <v>0</v>
      </c>
      <c r="G61" s="279" t="s">
        <v>448</v>
      </c>
      <c r="H61" s="279"/>
      <c r="I61" s="50">
        <f>'General Variables'!$B$11</f>
        <v>0.01</v>
      </c>
      <c r="J61" s="21"/>
      <c r="K61" s="58">
        <f>ROUND(F61*I61,2)</f>
        <v>0</v>
      </c>
      <c r="L61" s="34"/>
    </row>
    <row r="62" spans="2:12" ht="13.5" thickTop="1">
      <c r="B62" s="2" t="s">
        <v>472</v>
      </c>
      <c r="K62" s="6">
        <f>SUM(K57:K61)</f>
        <v>5</v>
      </c>
      <c r="L62" s="33"/>
    </row>
    <row r="64" spans="2:12">
      <c r="B64" s="2" t="str">
        <f>"Cost per "&amp;$B$3</f>
        <v>Cost per Unit</v>
      </c>
      <c r="K64" s="6">
        <f>IF(A3="Yield",0,K62/$A$3)</f>
        <v>0</v>
      </c>
      <c r="L64" s="33"/>
    </row>
    <row r="65" spans="2:12">
      <c r="B65" s="41" t="str">
        <f>"Cash Cost per "&amp;$B$3</f>
        <v>Cash Cost per Unit</v>
      </c>
      <c r="C65" s="21"/>
      <c r="D65" s="21"/>
      <c r="E65" s="21"/>
      <c r="F65" s="21"/>
      <c r="G65" s="21"/>
      <c r="H65" s="21"/>
      <c r="I65" s="21"/>
      <c r="J65" s="21"/>
      <c r="K65" s="47">
        <f>IF($A$3="Yield",0,(E56+K56)/$A$3)</f>
        <v>0</v>
      </c>
      <c r="L65" s="46"/>
    </row>
    <row r="75" spans="2:12">
      <c r="B75" s="12"/>
      <c r="C75" s="12"/>
      <c r="D75" s="12"/>
    </row>
    <row r="76" spans="2:12">
      <c r="B76" s="12"/>
      <c r="C76" s="12"/>
      <c r="D76" s="12"/>
    </row>
    <row r="77" spans="2:12">
      <c r="B77" s="12"/>
      <c r="C77" s="12"/>
      <c r="D77" s="12"/>
    </row>
    <row r="78" spans="2:12">
      <c r="B78" s="12"/>
      <c r="C78" s="12"/>
      <c r="D78" s="12"/>
    </row>
    <row r="79" spans="2:12">
      <c r="B79" s="12"/>
      <c r="C79" s="12"/>
      <c r="D79" s="12"/>
    </row>
    <row r="80" spans="2:12">
      <c r="B80" s="12"/>
      <c r="C80" s="12"/>
      <c r="D80" s="12"/>
    </row>
    <row r="81" spans="2:4">
      <c r="B81" s="12"/>
      <c r="C81" s="12"/>
      <c r="D81" s="12"/>
    </row>
    <row r="82" spans="2:4">
      <c r="B82" s="12"/>
      <c r="C82" s="12"/>
      <c r="D82" s="12"/>
    </row>
    <row r="83" spans="2:4">
      <c r="B83" s="12"/>
      <c r="C83" s="12"/>
      <c r="D83" s="12"/>
    </row>
    <row r="84" spans="2:4">
      <c r="B84" s="12"/>
      <c r="C84" s="12"/>
      <c r="D84" s="12"/>
    </row>
    <row r="85" spans="2:4">
      <c r="B85" s="12"/>
      <c r="C85" s="12"/>
      <c r="D85" s="12"/>
    </row>
    <row r="86" spans="2:4">
      <c r="B86" s="12"/>
      <c r="C86" s="12"/>
      <c r="D86" s="12"/>
    </row>
    <row r="87" spans="2:4">
      <c r="B87" s="12"/>
      <c r="C87" s="12"/>
      <c r="D87" s="12"/>
    </row>
    <row r="88" spans="2:4">
      <c r="B88" s="12"/>
      <c r="C88" s="12"/>
      <c r="D88" s="12"/>
    </row>
    <row r="89" spans="2:4">
      <c r="B89" s="12"/>
      <c r="C89" s="12"/>
      <c r="D89" s="12"/>
    </row>
    <row r="90" spans="2:4">
      <c r="B90" s="12"/>
      <c r="C90" s="12"/>
      <c r="D90" s="12"/>
    </row>
    <row r="91" spans="2:4">
      <c r="B91" s="12"/>
      <c r="C91" s="12"/>
      <c r="D91" s="12"/>
    </row>
    <row r="92" spans="2:4">
      <c r="B92" s="12"/>
      <c r="C92" s="12"/>
      <c r="D92" s="12"/>
    </row>
    <row r="93" spans="2:4">
      <c r="B93" s="12"/>
      <c r="C93" s="12"/>
      <c r="D93" s="12"/>
    </row>
    <row r="94" spans="2:4">
      <c r="B94" s="12"/>
      <c r="C94" s="12"/>
      <c r="D94" s="12"/>
    </row>
    <row r="95" spans="2:4">
      <c r="B95" s="12"/>
      <c r="C95" s="12"/>
      <c r="D95" s="12"/>
    </row>
    <row r="96" spans="2:4">
      <c r="B96" s="12"/>
      <c r="C96" s="12"/>
      <c r="D96" s="12"/>
    </row>
    <row r="97" spans="2:6">
      <c r="B97" s="12"/>
      <c r="C97" s="12"/>
      <c r="D97" s="12"/>
    </row>
    <row r="98" spans="2:6">
      <c r="B98" s="12"/>
      <c r="C98" s="12"/>
      <c r="D98" s="12"/>
    </row>
    <row r="99" spans="2:6">
      <c r="B99" s="12"/>
      <c r="C99" s="12"/>
      <c r="D99" s="12"/>
    </row>
    <row r="100" spans="2:6">
      <c r="B100" s="21" t="str">
        <f>IF(Operations!A2="","",Operations!A2)</f>
        <v>Aerial Spray</v>
      </c>
      <c r="C100" s="21" t="str">
        <f>IF(Materials!B2="","",Materials!B2)</f>
        <v>Drybean Premium</v>
      </c>
      <c r="D100" s="21"/>
      <c r="F100" s="13" t="str">
        <f>IF('General Variables'!E3=0,"",'General Variables'!E3)</f>
        <v>Rainfed (State)</v>
      </c>
    </row>
    <row r="101" spans="2:6">
      <c r="B101" s="21" t="str">
        <f>IF(Operations!A3="","",Operations!A3)</f>
        <v>Anhy Apply (supplier)</v>
      </c>
      <c r="C101" s="21" t="str">
        <f>IF(Materials!B3="","",Materials!B3)</f>
        <v>Grain Sorghum Premium</v>
      </c>
      <c r="D101" s="21"/>
      <c r="F101" s="13" t="str">
        <f>IF('General Variables'!E4=0,"",'General Variables'!E4)</f>
        <v>Rainfed (Panhandle)</v>
      </c>
    </row>
    <row r="102" spans="2:6">
      <c r="B102" s="21" t="str">
        <f>IF(Operations!A4="","",Operations!A4)</f>
        <v>Anhydrous Apply</v>
      </c>
      <c r="C102" s="21" t="str">
        <f>IF(Materials!B4="","",Materials!B4)</f>
        <v>Irrigated Corn Premium</v>
      </c>
      <c r="D102" s="21"/>
      <c r="F102" s="13" t="str">
        <f>IF('General Variables'!E5=0,"",'General Variables'!E5)</f>
        <v>Gravity (State)</v>
      </c>
    </row>
    <row r="103" spans="2:6">
      <c r="B103" s="21" t="str">
        <f>IF(Operations!A5="","",Operations!A5)</f>
        <v>Cart</v>
      </c>
      <c r="C103" s="21" t="str">
        <f>IF(Materials!B5="","",Materials!B5)</f>
        <v>Irrigated Soybean Premium</v>
      </c>
      <c r="D103" s="21"/>
      <c r="F103" s="13" t="str">
        <f>IF('General Variables'!E6=0,"",'General Variables'!E6)</f>
        <v>Gravity (Panhandle)</v>
      </c>
    </row>
    <row r="104" spans="2:6">
      <c r="B104" s="21" t="str">
        <f>IF(Operations!A6="","",Operations!A6)</f>
        <v>Chisel</v>
      </c>
      <c r="C104" s="21" t="str">
        <f>IF(Materials!B6="","",Materials!B6)</f>
        <v>Rainfed Corn Premium</v>
      </c>
      <c r="D104" s="21"/>
      <c r="F104" s="13" t="str">
        <f>IF('General Variables'!E7=0,"",'General Variables'!E7)</f>
        <v>Pivot (State)</v>
      </c>
    </row>
    <row r="105" spans="2:6">
      <c r="B105" s="21" t="str">
        <f>IF(Operations!A7="","",Operations!A7)</f>
        <v>Chop Silage</v>
      </c>
      <c r="C105" s="21" t="str">
        <f>IF(Materials!B7="","",Materials!B7)</f>
        <v>Rainfed Soybean Premium</v>
      </c>
      <c r="D105" s="21"/>
      <c r="F105" s="13" t="str">
        <f>IF('General Variables'!E8=0,"",'General Variables'!E8)</f>
        <v>Pivot (Panhandle)</v>
      </c>
    </row>
    <row r="106" spans="2:6">
      <c r="B106" s="21" t="str">
        <f>IF(Operations!A8="","",Operations!A8)</f>
        <v>Chop Stalks</v>
      </c>
      <c r="C106" s="21" t="str">
        <f>IF(Materials!B8="","",Materials!B8)</f>
        <v>Sugar Beets Premium</v>
      </c>
      <c r="D106" s="21"/>
      <c r="F106" s="13" t="str">
        <f>IF('General Variables'!E9=0,"",'General Variables'!E9)</f>
        <v>Rainfed (Southwest)</v>
      </c>
    </row>
    <row r="107" spans="2:6">
      <c r="B107" s="21" t="str">
        <f>IF(Operations!A9="","",Operations!A9)</f>
        <v>Combine</v>
      </c>
      <c r="C107" s="21" t="str">
        <f>IF(Materials!B9="","",Materials!B9)</f>
        <v>Wheat Premium</v>
      </c>
      <c r="D107" s="21"/>
      <c r="F107" s="13" t="str">
        <f>IF('General Variables'!E10=0,"",'General Variables'!E10)</f>
        <v/>
      </c>
    </row>
    <row r="108" spans="2:6">
      <c r="B108" s="21" t="str">
        <f>IF(Operations!A10="","",Operations!A10)</f>
        <v>Combine dryland</v>
      </c>
      <c r="C108" s="21" t="str">
        <f>IF(Materials!B10="","",Materials!B10)</f>
        <v>Aerial Spray</v>
      </c>
      <c r="D108" s="21"/>
      <c r="F108" s="13" t="str">
        <f>IF('General Variables'!E11=0,"",'General Variables'!E11)</f>
        <v/>
      </c>
    </row>
    <row r="109" spans="2:6">
      <c r="B109" s="21" t="str">
        <f>IF(Operations!A11="","",Operations!A11)</f>
        <v>Combine Irr Corn</v>
      </c>
      <c r="C109" s="21" t="str">
        <f>IF(Materials!B11="","",Materials!B11)</f>
        <v>Bale Lg Sq 1200 lb</v>
      </c>
      <c r="D109" s="21"/>
      <c r="F109" s="13" t="str">
        <f>IF('General Variables'!E12=0,"",'General Variables'!E12)</f>
        <v/>
      </c>
    </row>
    <row r="110" spans="2:6">
      <c r="B110" s="21" t="str">
        <f>IF(Operations!A12="","",Operations!A12)</f>
        <v>Combine Irr Dry Beans</v>
      </c>
      <c r="C110" s="21" t="str">
        <f>IF(Materials!B12="","",Materials!B12)</f>
        <v>Chop, Haul, Pack</v>
      </c>
      <c r="D110" s="21"/>
      <c r="F110" s="13" t="str">
        <f>IF('General Variables'!E13=0,"",'General Variables'!E13)</f>
        <v/>
      </c>
    </row>
    <row r="111" spans="2:6">
      <c r="B111" s="21" t="str">
        <f>IF(Operations!A13="","",Operations!A13)</f>
        <v>Combine Irr SB</v>
      </c>
      <c r="C111" s="21" t="str">
        <f>IF(Materials!B13="","",Materials!B13)</f>
        <v>Dry 4 Points Removed</v>
      </c>
      <c r="D111" s="21"/>
      <c r="F111" s="13" t="str">
        <f>IF('General Variables'!E14=0,"",'General Variables'!E14)</f>
        <v/>
      </c>
    </row>
    <row r="112" spans="2:6">
      <c r="B112" s="21" t="str">
        <f>IF(Operations!A14="","",Operations!A14)</f>
        <v>Combine Irr SG</v>
      </c>
      <c r="C112" s="21" t="str">
        <f>IF(Materials!B14="","",Materials!B14)</f>
        <v>Haul &amp; Apply Manure</v>
      </c>
      <c r="D112" s="21"/>
      <c r="F112" s="13" t="str">
        <f>IF('General Variables'!E15=0,"",'General Variables'!E15)</f>
        <v/>
      </c>
    </row>
    <row r="113" spans="2:6">
      <c r="B113" s="21" t="str">
        <f>IF(Operations!A15="","",Operations!A15)</f>
        <v>Combine Irr Sunflowers</v>
      </c>
      <c r="C113" s="21" t="str">
        <f>IF(Materials!B15="","",Materials!B15)</f>
        <v>Haul Beans</v>
      </c>
      <c r="D113" s="21"/>
      <c r="F113" s="13" t="str">
        <f>IF('General Variables'!E16=0,"",'General Variables'!E16)</f>
        <v/>
      </c>
    </row>
    <row r="114" spans="2:6">
      <c r="B114" s="21" t="str">
        <f>IF(Operations!A16="","",Operations!A16)</f>
        <v>Combine Irrig</v>
      </c>
      <c r="C114" s="21" t="str">
        <f>IF(Materials!B16="","",Materials!B16)</f>
        <v>Haul Beets</v>
      </c>
      <c r="D114" s="21"/>
      <c r="F114" s="13" t="str">
        <f>IF('General Variables'!E17=0,"",'General Variables'!E17)</f>
        <v/>
      </c>
    </row>
    <row r="115" spans="2:6">
      <c r="B115" s="21" t="str">
        <f>IF(Operations!A17="","",Operations!A17)</f>
        <v>Combine irrigated</v>
      </c>
      <c r="C115" s="21" t="str">
        <f>IF(Materials!B17="","",Materials!B17)</f>
        <v>Haul Grain (Dry Beans)</v>
      </c>
      <c r="D115" s="21"/>
      <c r="F115" s="13" t="str">
        <f>IF('General Variables'!E18=0,"",'General Variables'!E18)</f>
        <v/>
      </c>
    </row>
    <row r="116" spans="2:6">
      <c r="B116" s="21" t="str">
        <f>IF(Operations!A18="","",Operations!A18)</f>
        <v>Combine Rainfed Corn</v>
      </c>
      <c r="C116" s="21" t="str">
        <f>IF(Materials!B18="","",Materials!B18)</f>
        <v>Haul Grain (Millet)</v>
      </c>
      <c r="D116" s="21"/>
      <c r="F116" s="13" t="str">
        <f>IF('General Variables'!E19=0,"",'General Variables'!E19)</f>
        <v/>
      </c>
    </row>
    <row r="117" spans="2:6">
      <c r="B117" s="21" t="str">
        <f>IF(Operations!A19="","",Operations!A19)</f>
        <v>Combine Rainfed SB</v>
      </c>
      <c r="C117" s="21" t="str">
        <f>IF(Materials!B19="","",Materials!B19)</f>
        <v>Haul Grain (Sunflower)</v>
      </c>
      <c r="D117" s="21"/>
      <c r="F117" s="13" t="str">
        <f>IF('General Variables'!E20=0,"",'General Variables'!E20)</f>
        <v/>
      </c>
    </row>
    <row r="118" spans="2:6">
      <c r="B118" s="21" t="str">
        <f>IF(Operations!A20="","",Operations!A20)</f>
        <v>Combine Rainfed SG</v>
      </c>
      <c r="C118" s="21" t="str">
        <f>IF(Materials!B20="","",Materials!B20)</f>
        <v>Haul Grain bu</v>
      </c>
      <c r="D118" s="21"/>
      <c r="F118" s="13" t="str">
        <f>IF('General Variables'!E21=0,"",'General Variables'!E21)</f>
        <v/>
      </c>
    </row>
    <row r="119" spans="2:6">
      <c r="B119" s="21" t="str">
        <f>IF(Operations!A21="","",Operations!A21)</f>
        <v>Combine Rainfed Sunflowers</v>
      </c>
      <c r="C119" s="21" t="str">
        <f>IF(Materials!B21="","",Materials!B21)</f>
        <v>Spray</v>
      </c>
      <c r="D119" s="21"/>
      <c r="F119" s="13" t="str">
        <f>IF('General Variables'!E22=0,"",'General Variables'!E22)</f>
        <v/>
      </c>
    </row>
    <row r="120" spans="2:6">
      <c r="B120" s="21" t="str">
        <f>IF(Operations!A22="","",Operations!A22)</f>
        <v>Corrugate</v>
      </c>
      <c r="C120" s="21" t="str">
        <f>IF(Materials!B22="","",Materials!B22)</f>
        <v>10-10-10z</v>
      </c>
      <c r="D120" s="21"/>
      <c r="F120" s="13" t="str">
        <f>IF('General Variables'!E23=0,"",'General Variables'!E23)</f>
        <v/>
      </c>
    </row>
    <row r="121" spans="2:6">
      <c r="B121" s="21" t="str">
        <f>IF(Operations!A23="","",Operations!A23)</f>
        <v>Cut Beans</v>
      </c>
      <c r="C121" s="21" t="str">
        <f>IF(Materials!B23="","",Materials!B23)</f>
        <v>10-34-0</v>
      </c>
      <c r="D121" s="21"/>
      <c r="F121" s="13" t="str">
        <f>IF('General Variables'!E24=0,"",'General Variables'!E24)</f>
        <v/>
      </c>
    </row>
    <row r="122" spans="2:6">
      <c r="B122" s="21" t="str">
        <f>IF(Operations!A24="","",Operations!A24)</f>
        <v>Disc</v>
      </c>
      <c r="C122" s="21" t="str">
        <f>IF(Materials!B24="","",Materials!B24)</f>
        <v>10-34-0-1Z</v>
      </c>
      <c r="D122" s="21"/>
      <c r="F122" s="13" t="str">
        <f>IF('General Variables'!E25=0,"",'General Variables'!E25)</f>
        <v/>
      </c>
    </row>
    <row r="123" spans="2:6">
      <c r="B123" s="21" t="str">
        <f>IF(Operations!A25="","",Operations!A25)</f>
        <v>Ditch Irrigation</v>
      </c>
      <c r="C123" s="21" t="str">
        <f>IF(Materials!B25="","",Materials!B25)</f>
        <v>11-52-0</v>
      </c>
      <c r="D123" s="21"/>
      <c r="F123" s="13" t="str">
        <f>IF('General Variables'!E26=0,"",'General Variables'!E26)</f>
        <v/>
      </c>
    </row>
    <row r="124" spans="2:6">
      <c r="B124" s="21" t="str">
        <f>IF(Operations!A26="","",Operations!A26)</f>
        <v>Double Windrows</v>
      </c>
      <c r="C124" s="21" t="str">
        <f>IF(Materials!B26="","",Materials!B26)</f>
        <v>21-0-0-26S</v>
      </c>
      <c r="D124" s="21"/>
      <c r="F124" s="13" t="str">
        <f>IF('General Variables'!E27=0,"",'General Variables'!E27)</f>
        <v/>
      </c>
    </row>
    <row r="125" spans="2:6">
      <c r="B125" s="21" t="str">
        <f>IF(Operations!A27="","",Operations!A27)</f>
        <v>Drill</v>
      </c>
      <c r="C125" s="21" t="str">
        <f>IF(Materials!B27="","",Materials!B27)</f>
        <v>28-0-0</v>
      </c>
      <c r="D125" s="21"/>
      <c r="F125" s="13" t="str">
        <f>IF('General Variables'!E28=0,"",'General Variables'!E28)</f>
        <v/>
      </c>
    </row>
    <row r="126" spans="2:6">
      <c r="B126" s="21" t="str">
        <f>IF(Operations!A28="","",Operations!A28)</f>
        <v>Dry Grain</v>
      </c>
      <c r="C126" s="21" t="str">
        <f>IF(Materials!B28="","",Materials!B28)</f>
        <v>32-0-0</v>
      </c>
      <c r="D126" s="21"/>
    </row>
    <row r="127" spans="2:6">
      <c r="B127" s="21" t="str">
        <f>IF(Operations!A29="","",Operations!A29)</f>
        <v>Fallow Master</v>
      </c>
      <c r="C127" s="21" t="str">
        <f>IF(Materials!B29="","",Materials!B29)</f>
        <v>46-0-0</v>
      </c>
      <c r="D127" s="21"/>
    </row>
    <row r="128" spans="2:6">
      <c r="B128" s="21" t="str">
        <f>IF(Operations!A30="","",Operations!A30)</f>
        <v>Field Cultivation</v>
      </c>
      <c r="C128" s="21" t="str">
        <f>IF(Materials!B30="","",Materials!B30)</f>
        <v>82-0-0</v>
      </c>
      <c r="D128" s="21"/>
    </row>
    <row r="129" spans="2:4">
      <c r="B129" s="21" t="str">
        <f>IF(Operations!A31="","",Operations!A31)</f>
        <v>Grass Drill</v>
      </c>
      <c r="C129" s="21" t="str">
        <f>IF(Materials!B31="","",Materials!B31)</f>
        <v>Uncomposted manure</v>
      </c>
      <c r="D129" s="21"/>
    </row>
    <row r="130" spans="2:4">
      <c r="B130" s="21" t="str">
        <f>IF(Operations!A32="","",Operations!A32)</f>
        <v>Harrow</v>
      </c>
      <c r="C130" s="21" t="str">
        <f>IF(Materials!B32="","",Materials!B32)</f>
        <v>Copper</v>
      </c>
      <c r="D130" s="21"/>
    </row>
    <row r="131" spans="2:4">
      <c r="B131" s="21" t="str">
        <f>IF(Operations!A33="","",Operations!A33)</f>
        <v>Hill/Ditch</v>
      </c>
      <c r="C131" s="21" t="str">
        <f>IF(Materials!B33="","",Materials!B33)</f>
        <v>Headline</v>
      </c>
      <c r="D131" s="21"/>
    </row>
    <row r="132" spans="2:4">
      <c r="B132" s="21" t="str">
        <f>IF(Operations!A34="","",Operations!A34)</f>
        <v>Hoe</v>
      </c>
      <c r="C132" s="21" t="str">
        <f>IF(Materials!B34="","",Materials!B34)</f>
        <v>Tilt</v>
      </c>
      <c r="D132" s="21"/>
    </row>
    <row r="133" spans="2:4">
      <c r="B133" s="21" t="str">
        <f>IF(Operations!A35="","",Operations!A35)</f>
        <v>Lg Rd Bale</v>
      </c>
      <c r="C133" s="21" t="str">
        <f>IF(Materials!B35="","",Materials!B35)</f>
        <v>2,4-D Amine</v>
      </c>
      <c r="D133" s="21"/>
    </row>
    <row r="134" spans="2:4">
      <c r="B134" s="21" t="str">
        <f>IF(Operations!A36="","",Operations!A36)</f>
        <v>Lg Sq Bale</v>
      </c>
      <c r="C134" s="21" t="str">
        <f>IF(Materials!B36="","",Materials!B36)</f>
        <v>2,4-D Ester 4#</v>
      </c>
      <c r="D134" s="21"/>
    </row>
    <row r="135" spans="2:4">
      <c r="B135" s="21" t="str">
        <f>IF(Operations!A37="","",Operations!A37)</f>
        <v>Lift Beets</v>
      </c>
      <c r="C135" s="21" t="str">
        <f>IF(Materials!B37="","",Materials!B37)</f>
        <v>AAtrex 4L</v>
      </c>
      <c r="D135" s="21"/>
    </row>
    <row r="136" spans="2:4">
      <c r="B136" s="21" t="str">
        <f>IF(Operations!A38="","",Operations!A38)</f>
        <v>Load Lg Sq</v>
      </c>
      <c r="C136" s="21" t="str">
        <f>IF(Materials!B38="","",Materials!B38)</f>
        <v>Aim EW</v>
      </c>
      <c r="D136" s="21"/>
    </row>
    <row r="137" spans="2:4">
      <c r="B137" s="21" t="str">
        <f>IF(Operations!A39="","",Operations!A39)</f>
        <v>Move Large Bale</v>
      </c>
      <c r="C137" s="21" t="str">
        <f>IF(Materials!B39="","",Materials!B39)</f>
        <v>Ally Extra</v>
      </c>
      <c r="D137" s="21"/>
    </row>
    <row r="138" spans="2:4">
      <c r="B138" s="21" t="str">
        <f>IF(Operations!A40="","",Operations!A40)</f>
        <v>Move Lg Rd</v>
      </c>
      <c r="C138" s="21" t="str">
        <f>IF(Materials!B40="","",Materials!B40)</f>
        <v>Authority First</v>
      </c>
      <c r="D138" s="21"/>
    </row>
    <row r="139" spans="2:4">
      <c r="B139" s="21" t="str">
        <f>IF(Operations!A41="","",Operations!A41)</f>
        <v>No-Till Drill</v>
      </c>
      <c r="C139" s="21" t="str">
        <f>IF(Materials!B41="","",Materials!B41)</f>
        <v>Balance Flexx</v>
      </c>
      <c r="D139" s="21"/>
    </row>
    <row r="140" spans="2:4">
      <c r="B140" s="21" t="str">
        <f>IF(Operations!A42="","",Operations!A42)</f>
        <v>Pickett Windrowers</v>
      </c>
      <c r="C140" s="21" t="str">
        <f>IF(Materials!B42="","",Materials!B42)</f>
        <v>Basagran</v>
      </c>
      <c r="D140" s="21"/>
    </row>
    <row r="141" spans="2:4">
      <c r="B141" s="21" t="str">
        <f>IF(Operations!A43="","",Operations!A43)</f>
        <v>Pipe D125’ Lift</v>
      </c>
      <c r="C141" s="21" t="str">
        <f>IF(Materials!B43="","",Materials!B43)</f>
        <v>Bicep II Magnum</v>
      </c>
      <c r="D141" s="21"/>
    </row>
    <row r="142" spans="2:4">
      <c r="B142" s="21" t="str">
        <f>IF(Operations!A44="","",Operations!A44)</f>
        <v>PivotD 125’Lift</v>
      </c>
      <c r="C142" s="21" t="str">
        <f>IF(Materials!B44="","",Materials!B44)</f>
        <v>Crop Oil Concentrate</v>
      </c>
      <c r="D142" s="21"/>
    </row>
    <row r="143" spans="2:4">
      <c r="B143" s="21" t="str">
        <f>IF(Operations!A45="","",Operations!A45)</f>
        <v>PivotE 125’Lift</v>
      </c>
      <c r="C143" s="21" t="str">
        <f>IF(Materials!B45="","",Materials!B45)</f>
        <v>Dicamba</v>
      </c>
      <c r="D143" s="21"/>
    </row>
    <row r="144" spans="2:4">
      <c r="B144" s="21" t="str">
        <f>IF(Operations!A46="","",Operations!A46)</f>
        <v>Plant</v>
      </c>
      <c r="C144" s="21" t="str">
        <f>IF(Materials!B46="","",Materials!B46)</f>
        <v>Dual II Magnum</v>
      </c>
      <c r="D144" s="21"/>
    </row>
    <row r="145" spans="2:4">
      <c r="B145" s="21" t="str">
        <f>IF(Operations!A47="","",Operations!A47)</f>
        <v>Plant Narrow Row</v>
      </c>
      <c r="C145" s="21" t="str">
        <f>IF(Materials!B47="","",Materials!B47)</f>
        <v>Eptam</v>
      </c>
      <c r="D145" s="21"/>
    </row>
    <row r="146" spans="2:4">
      <c r="B146" s="21" t="str">
        <f>IF(Operations!A48="","",Operations!A48)</f>
        <v>Plant No-Till</v>
      </c>
      <c r="C146" s="21" t="str">
        <f>IF(Materials!B48="","",Materials!B48)</f>
        <v>Expert</v>
      </c>
      <c r="D146" s="21"/>
    </row>
    <row r="147" spans="2:4">
      <c r="B147" s="21" t="str">
        <f>IF(Operations!A49="","",Operations!A49)</f>
        <v>Ridge Cultivation</v>
      </c>
      <c r="C147" s="21" t="str">
        <f>IF(Materials!B49="","",Materials!B49)</f>
        <v>Glyphosate w/Surf</v>
      </c>
      <c r="D147" s="21"/>
    </row>
    <row r="148" spans="2:4">
      <c r="B148" s="21" t="str">
        <f>IF(Operations!A50="","",Operations!A50)</f>
        <v>Ridge Plant</v>
      </c>
      <c r="C148" s="21" t="str">
        <f>IF(Materials!B50="","",Materials!B50)</f>
        <v>Gramoxone Inteon</v>
      </c>
      <c r="D148" s="21"/>
    </row>
    <row r="149" spans="2:4">
      <c r="B149" s="21" t="str">
        <f>IF(Operations!A51="","",Operations!A51)</f>
        <v>Rod Beans</v>
      </c>
      <c r="C149" s="21" t="str">
        <f>IF(Materials!B51="","",Materials!B51)</f>
        <v>Landmaster BW</v>
      </c>
      <c r="D149" s="21"/>
    </row>
    <row r="150" spans="2:4">
      <c r="B150" s="21" t="str">
        <f>IF(Operations!A52="","",Operations!A52)</f>
        <v>Rod Weeder</v>
      </c>
      <c r="C150" s="21" t="str">
        <f>IF(Materials!B52="","",Materials!B52)</f>
        <v>Lumax</v>
      </c>
      <c r="D150" s="21"/>
    </row>
    <row r="151" spans="2:4">
      <c r="B151" s="21" t="str">
        <f>IF(Operations!A53="","",Operations!A53)</f>
        <v>Roll</v>
      </c>
      <c r="C151" s="21" t="str">
        <f>IF(Materials!B53="","",Materials!B53)</f>
        <v>NIS</v>
      </c>
      <c r="D151" s="21"/>
    </row>
    <row r="152" spans="2:4">
      <c r="B152" s="21" t="str">
        <f>IF(Operations!A54="","",Operations!A54)</f>
        <v>Row Crop Cultivation</v>
      </c>
      <c r="C152" s="21" t="str">
        <f>IF(Materials!B54="","",Materials!B54)</f>
        <v>Outlook</v>
      </c>
      <c r="D152" s="21"/>
    </row>
    <row r="153" spans="2:4">
      <c r="B153" s="21" t="str">
        <f>IF(Operations!A55="","",Operations!A55)</f>
        <v>Seeder/Packer</v>
      </c>
      <c r="C153" s="21" t="str">
        <f>IF(Materials!B55="","",Materials!B55)</f>
        <v>Peak</v>
      </c>
      <c r="D153" s="21"/>
    </row>
    <row r="154" spans="2:4">
      <c r="B154" s="21" t="str">
        <f>IF(Operations!A56="","",Operations!A56)</f>
        <v>Sm Sq Bale</v>
      </c>
      <c r="C154" s="21" t="str">
        <f>IF(Materials!B56="","",Materials!B56)</f>
        <v>Prowl H2O</v>
      </c>
      <c r="D154" s="21"/>
    </row>
    <row r="155" spans="2:4">
      <c r="B155" s="21" t="str">
        <f>IF(Operations!A57="","",Operations!A57)</f>
        <v>Spray</v>
      </c>
      <c r="C155" s="21" t="str">
        <f>IF(Materials!B57="","",Materials!B57)</f>
        <v xml:space="preserve">Pursuit </v>
      </c>
      <c r="D155" s="21"/>
    </row>
    <row r="156" spans="2:4">
      <c r="B156" s="21" t="str">
        <f>IF(Operations!A58="","",Operations!A58)</f>
        <v>Spray (on disc)</v>
      </c>
      <c r="C156" s="21" t="str">
        <f>IF(Materials!B58="","",Materials!B58)</f>
        <v>Pursuit Plus</v>
      </c>
      <c r="D156" s="21"/>
    </row>
    <row r="157" spans="2:4">
      <c r="B157" s="21" t="str">
        <f>IF(Operations!A59="","",Operations!A59)</f>
        <v>Spray liquid fertilizer</v>
      </c>
      <c r="C157" s="21" t="str">
        <f>IF(Materials!B59="","",Materials!B59)</f>
        <v>Raptor</v>
      </c>
      <c r="D157" s="21"/>
    </row>
    <row r="158" spans="2:4">
      <c r="B158" s="21" t="str">
        <f>IF(Operations!A60="","",Operations!A60)</f>
        <v>Spread manure</v>
      </c>
      <c r="C158" s="21" t="str">
        <f>IF(Materials!B60="","",Materials!B60)</f>
        <v>Select Max</v>
      </c>
      <c r="D158" s="21"/>
    </row>
    <row r="159" spans="2:4">
      <c r="B159" s="21" t="str">
        <f>IF(Operations!A61="","",Operations!A61)</f>
        <v>Spread, Fertilizer</v>
      </c>
      <c r="C159" s="21" t="str">
        <f>IF(Materials!B61="","",Materials!B61)</f>
        <v>Sonalan</v>
      </c>
      <c r="D159" s="21"/>
    </row>
    <row r="160" spans="2:4">
      <c r="B160" s="21" t="str">
        <f>IF(Operations!A62="","",Operations!A62)</f>
        <v>Stack Sm Sq</v>
      </c>
      <c r="C160" s="21" t="str">
        <f>IF(Materials!B62="","",Materials!B62)</f>
        <v>Spartan 4F</v>
      </c>
      <c r="D160" s="21"/>
    </row>
    <row r="161" spans="2:4">
      <c r="B161" s="21" t="str">
        <f>IF(Operations!A63="","",Operations!A63)</f>
        <v>Subsoil</v>
      </c>
      <c r="C161" s="21" t="str">
        <f>IF(Materials!B63="","",Materials!B63)</f>
        <v>Spirit</v>
      </c>
      <c r="D161" s="21"/>
    </row>
    <row r="162" spans="2:4">
      <c r="B162" s="21" t="str">
        <f>IF(Operations!A64="","",Operations!A64)</f>
        <v>Swath/Cond Hay</v>
      </c>
      <c r="C162" s="21" t="str">
        <f>IF(Materials!B64="","",Materials!B64)</f>
        <v>Asana XL</v>
      </c>
      <c r="D162" s="21"/>
    </row>
    <row r="163" spans="2:4">
      <c r="B163" s="21" t="str">
        <f>IF(Operations!A65="","",Operations!A65)</f>
        <v>Till Plant Beets</v>
      </c>
      <c r="C163" s="21" t="str">
        <f>IF(Materials!B65="","",Materials!B65)</f>
        <v>Brigade 2EC</v>
      </c>
      <c r="D163" s="21"/>
    </row>
    <row r="164" spans="2:4">
      <c r="B164" s="21" t="str">
        <f>IF(Operations!A66="","",Operations!A66)</f>
        <v>Top Beets</v>
      </c>
      <c r="C164" s="21" t="str">
        <f>IF(Materials!B66="","",Materials!B66)</f>
        <v>Capture LFR</v>
      </c>
      <c r="D164" s="21"/>
    </row>
    <row r="165" spans="2:4">
      <c r="B165" s="21" t="str">
        <f>IF(Operations!A67="","",Operations!A67)</f>
        <v>Truck</v>
      </c>
      <c r="C165" s="21" t="str">
        <f>IF(Materials!B67="","",Materials!B67)</f>
        <v>Force 3G Smart Box</v>
      </c>
      <c r="D165" s="21"/>
    </row>
    <row r="166" spans="2:4">
      <c r="B166" s="21" t="str">
        <f>IF(Operations!A68="","",Operations!A68)</f>
        <v>Turn Windrows</v>
      </c>
      <c r="C166" s="21" t="str">
        <f>IF(Materials!B68="","",Materials!B68)</f>
        <v>Lorsban 15 G</v>
      </c>
      <c r="D166" s="21"/>
    </row>
    <row r="167" spans="2:4">
      <c r="B167" s="21" t="str">
        <f>IF(Operations!A69="","",Operations!A69)</f>
        <v>Weed</v>
      </c>
      <c r="C167" s="21" t="str">
        <f>IF(Materials!B69="","",Materials!B69)</f>
        <v>Lorsban 4 E</v>
      </c>
      <c r="D167" s="21"/>
    </row>
    <row r="168" spans="2:4">
      <c r="B168" s="21" t="str">
        <f>IF(Operations!A70="","",Operations!A70)</f>
        <v>Windrow Grain</v>
      </c>
      <c r="C168" s="21" t="str">
        <f>IF(Materials!B70="","",Materials!B70)</f>
        <v>Mustang Max EC</v>
      </c>
      <c r="D168" s="21"/>
    </row>
    <row r="169" spans="2:4">
      <c r="B169" s="21" t="str">
        <f>IF(Operations!A71="","",Operations!A71)</f>
        <v/>
      </c>
      <c r="C169" s="21" t="str">
        <f>IF(Materials!B71="","",Materials!B71)</f>
        <v>Regent 4 SC</v>
      </c>
      <c r="D169" s="21"/>
    </row>
    <row r="170" spans="2:4">
      <c r="B170" s="21" t="str">
        <f>IF(Operations!A72="","",Operations!A72)</f>
        <v/>
      </c>
      <c r="C170" s="21" t="str">
        <f>IF(Materials!B72="","",Materials!B72)</f>
        <v>Warrior II/Zeon</v>
      </c>
      <c r="D170" s="21"/>
    </row>
    <row r="171" spans="2:4">
      <c r="B171" s="21" t="str">
        <f>IF(Operations!A73="","",Operations!A73)</f>
        <v/>
      </c>
      <c r="C171" s="21" t="str">
        <f>IF(Materials!B73="","",Materials!B73)</f>
        <v>Elec Connect Fees</v>
      </c>
      <c r="D171" s="21"/>
    </row>
    <row r="172" spans="2:4">
      <c r="B172" s="21" t="str">
        <f>IF(Operations!A74="","",Operations!A74)</f>
        <v/>
      </c>
      <c r="C172" s="21" t="str">
        <f>IF(Materials!B74="","",Materials!B74)</f>
        <v>Electricity fence/water</v>
      </c>
      <c r="D172" s="21"/>
    </row>
    <row r="173" spans="2:4">
      <c r="B173" s="21" t="str">
        <f>IF(Operations!A75="","",Operations!A75)</f>
        <v/>
      </c>
      <c r="C173" s="21" t="str">
        <f>IF(Materials!B75="","",Materials!B75)</f>
        <v>Fence/water repairs</v>
      </c>
      <c r="D173" s="21"/>
    </row>
    <row r="174" spans="2:4">
      <c r="B174" s="21" t="str">
        <f>IF(Operations!A76="","",Operations!A76)</f>
        <v/>
      </c>
      <c r="C174" s="21" t="str">
        <f>IF(Materials!B76="","",Materials!B76)</f>
        <v>Move Cattle</v>
      </c>
      <c r="D174" s="21"/>
    </row>
    <row r="175" spans="2:4">
      <c r="B175" s="21" t="str">
        <f>IF(Operations!A77="","",Operations!A77)</f>
        <v/>
      </c>
      <c r="C175" s="21" t="str">
        <f>IF(Materials!B77="","",Materials!B77)</f>
        <v>Twine Lg Rd</v>
      </c>
      <c r="D175" s="21"/>
    </row>
    <row r="176" spans="2:4">
      <c r="B176" s="21" t="str">
        <f>IF(Operations!A78="","",Operations!A78)</f>
        <v/>
      </c>
      <c r="C176" s="21" t="str">
        <f>IF(Materials!B78="","",Materials!B78)</f>
        <v>Twine Lg Sq</v>
      </c>
      <c r="D176" s="21"/>
    </row>
    <row r="177" spans="2:4">
      <c r="B177" s="21" t="str">
        <f>IF(Operations!A79="","",Operations!A79)</f>
        <v/>
      </c>
      <c r="C177" s="21" t="str">
        <f>IF(Materials!B79="","",Materials!B79)</f>
        <v>Twine Sm Sq</v>
      </c>
      <c r="D177" s="21"/>
    </row>
    <row r="178" spans="2:4">
      <c r="B178" s="21" t="str">
        <f>IF(Operations!A80="","",Operations!A80)</f>
        <v/>
      </c>
      <c r="C178" s="21" t="str">
        <f>IF(Materials!B80="","",Materials!B80)</f>
        <v>Water Charge</v>
      </c>
      <c r="D178" s="21"/>
    </row>
    <row r="179" spans="2:4">
      <c r="B179" s="21" t="str">
        <f>IF(Operations!A81="","",Operations!A81)</f>
        <v/>
      </c>
      <c r="C179" s="21" t="str">
        <f>IF(Materials!B81="","",Materials!B81)</f>
        <v>Grass Drill</v>
      </c>
      <c r="D179" s="21"/>
    </row>
    <row r="180" spans="2:4">
      <c r="B180" s="21" t="str">
        <f>IF(Operations!A82="","",Operations!A82)</f>
        <v/>
      </c>
      <c r="C180" s="21" t="str">
        <f>IF(Materials!B82="","",Materials!B82)</f>
        <v>Seeder-Packer</v>
      </c>
      <c r="D180" s="21"/>
    </row>
    <row r="181" spans="2:4">
      <c r="B181" s="21" t="str">
        <f>IF(Operations!A83="","",Operations!A83)</f>
        <v/>
      </c>
      <c r="C181" s="21" t="str">
        <f>IF(Materials!B83="","",Materials!B83)</f>
        <v>Scouting Drybeans</v>
      </c>
      <c r="D181" s="21"/>
    </row>
    <row r="182" spans="2:4">
      <c r="B182" s="21" t="str">
        <f>IF(Operations!A84="","",Operations!A84)</f>
        <v/>
      </c>
      <c r="C182" s="21" t="str">
        <f>IF(Materials!B84="","",Materials!B84)</f>
        <v>Scouting Grain Sorghum</v>
      </c>
      <c r="D182" s="21"/>
    </row>
    <row r="183" spans="2:4">
      <c r="B183" s="21" t="str">
        <f>IF(Operations!A85="","",Operations!A85)</f>
        <v/>
      </c>
      <c r="C183" s="21" t="str">
        <f>IF(Materials!B85="","",Materials!B85)</f>
        <v>Scouting Irrigated Corn</v>
      </c>
      <c r="D183" s="21"/>
    </row>
    <row r="184" spans="2:4">
      <c r="B184" s="21" t="str">
        <f>IF(Operations!A86="","",Operations!A86)</f>
        <v/>
      </c>
      <c r="C184" s="21" t="str">
        <f>IF(Materials!B86="","",Materials!B86)</f>
        <v>Scouting Irrigated SB</v>
      </c>
      <c r="D184" s="21"/>
    </row>
    <row r="185" spans="2:4">
      <c r="B185" s="21" t="str">
        <f>IF(Operations!A87="","",Operations!A87)</f>
        <v/>
      </c>
      <c r="C185" s="21" t="str">
        <f>IF(Materials!B87="","",Materials!B87)</f>
        <v>Scouting Irrigated Wheat</v>
      </c>
      <c r="D185" s="21"/>
    </row>
    <row r="186" spans="2:4">
      <c r="B186" s="21" t="str">
        <f>IF(Operations!A88="","",Operations!A88)</f>
        <v/>
      </c>
      <c r="C186" s="21" t="str">
        <f>IF(Materials!B88="","",Materials!B88)</f>
        <v>Scouting Rainfed Corn</v>
      </c>
      <c r="D186" s="21"/>
    </row>
    <row r="187" spans="2:4">
      <c r="B187" s="21" t="str">
        <f>IF(Operations!A89="","",Operations!A89)</f>
        <v/>
      </c>
      <c r="C187" s="21" t="str">
        <f>IF(Materials!B89="","",Materials!B89)</f>
        <v>Scouting Rainfed Soybeans</v>
      </c>
      <c r="D187" s="21"/>
    </row>
    <row r="188" spans="2:4">
      <c r="B188" s="21" t="str">
        <f>IF(Operations!A90="","",Operations!A90)</f>
        <v/>
      </c>
      <c r="C188" s="21" t="str">
        <f>IF(Materials!B90="","",Materials!B90)</f>
        <v>Scouting Sugar Beets</v>
      </c>
      <c r="D188" s="21"/>
    </row>
    <row r="189" spans="2:4">
      <c r="B189" s="21" t="str">
        <f>IF(Operations!A91="","",Operations!A91)</f>
        <v/>
      </c>
      <c r="C189" s="21" t="str">
        <f>IF(Materials!B91="","",Materials!B91)</f>
        <v>Scouting Wheat</v>
      </c>
      <c r="D189" s="21"/>
    </row>
    <row r="190" spans="2:4">
      <c r="B190" s="21" t="str">
        <f>IF(Operations!A92="","",Operations!A92)</f>
        <v/>
      </c>
      <c r="C190" s="21" t="str">
        <f>IF(Materials!B92="","",Materials!B92)</f>
        <v>Alfalfa w/Inoculant</v>
      </c>
      <c r="D190" s="21"/>
    </row>
    <row r="191" spans="2:4">
      <c r="B191" s="21" t="str">
        <f>IF(Operations!A93="","",Operations!A93)</f>
        <v/>
      </c>
      <c r="C191" s="21" t="str">
        <f>IF(Materials!B93="","",Materials!B93)</f>
        <v>Corn</v>
      </c>
      <c r="D191" s="21"/>
    </row>
    <row r="192" spans="2:4">
      <c r="B192" s="21" t="str">
        <f>IF(Operations!A94="","",Operations!A94)</f>
        <v/>
      </c>
      <c r="C192" s="21" t="str">
        <f>IF(Materials!B94="","",Materials!B94)</f>
        <v>Corn Bt ECB</v>
      </c>
      <c r="D192" s="21"/>
    </row>
    <row r="193" spans="2:4">
      <c r="B193" s="21" t="str">
        <f>IF(Operations!A95="","",Operations!A95)</f>
        <v/>
      </c>
      <c r="C193" s="21" t="str">
        <f>IF(Materials!B95="","",Materials!B95)</f>
        <v>Corn Bt ECB&amp;RW</v>
      </c>
      <c r="D193" s="21"/>
    </row>
    <row r="194" spans="2:4">
      <c r="B194" s="21" t="str">
        <f>IF(Operations!A96="","",Operations!A96)</f>
        <v/>
      </c>
      <c r="C194" s="21" t="str">
        <f>IF(Materials!B96="","",Materials!B96)</f>
        <v>Corn RR</v>
      </c>
      <c r="D194" s="21"/>
    </row>
    <row r="195" spans="2:4">
      <c r="B195" s="21" t="str">
        <f>IF(Operations!A97="","",Operations!A97)</f>
        <v/>
      </c>
      <c r="C195" s="21" t="str">
        <f>IF(Materials!B97="","",Materials!B97)</f>
        <v>Corn RR ECB&amp;RW</v>
      </c>
      <c r="D195" s="21"/>
    </row>
    <row r="196" spans="2:4">
      <c r="B196" s="21" t="str">
        <f>IF(Operations!A98="","",Operations!A98)</f>
        <v/>
      </c>
      <c r="C196" s="21" t="str">
        <f>IF(Materials!B98="","",Materials!B98)</f>
        <v>Corn SmartStax</v>
      </c>
      <c r="D196" s="21"/>
    </row>
    <row r="197" spans="2:4">
      <c r="B197" s="21" t="str">
        <f>IF(Operations!A99="","",Operations!A99)</f>
        <v/>
      </c>
      <c r="C197" s="21" t="str">
        <f>IF(Materials!B99="","",Materials!B99)</f>
        <v>Edible Beans</v>
      </c>
      <c r="D197" s="21"/>
    </row>
    <row r="198" spans="2:4">
      <c r="B198" s="21" t="str">
        <f>IF(Operations!A100="","",Operations!A100)</f>
        <v/>
      </c>
      <c r="C198" s="21" t="str">
        <f>IF(Materials!B100="","",Materials!B100)</f>
        <v>Grass Seed</v>
      </c>
      <c r="D198" s="21"/>
    </row>
    <row r="199" spans="2:4">
      <c r="B199" s="21" t="str">
        <f>IF(Operations!A101="","",Operations!A101)</f>
        <v/>
      </c>
      <c r="C199" s="21" t="str">
        <f>IF(Materials!B101="","",Materials!B101)</f>
        <v>Millet</v>
      </c>
      <c r="D199" s="21"/>
    </row>
    <row r="200" spans="2:4">
      <c r="C200" s="21" t="str">
        <f>IF(Materials!B102="","",Materials!B102)</f>
        <v>Oats</v>
      </c>
      <c r="D200" s="21"/>
    </row>
    <row r="201" spans="2:4">
      <c r="C201" s="21" t="str">
        <f>IF(Materials!B103="","",Materials!B103)</f>
        <v>Oats (With Alfalfa)</v>
      </c>
      <c r="D201" s="21"/>
    </row>
    <row r="202" spans="2:4">
      <c r="C202" s="21" t="str">
        <f>IF(Materials!B104="","",Materials!B104)</f>
        <v>RR Soybeans</v>
      </c>
      <c r="D202" s="21"/>
    </row>
    <row r="203" spans="2:4">
      <c r="C203" s="21" t="str">
        <f>IF(Materials!B105="","",Materials!B105)</f>
        <v>Sorghum Safened/Insect</v>
      </c>
      <c r="D203" s="21"/>
    </row>
    <row r="204" spans="2:4">
      <c r="C204" s="21" t="str">
        <f>IF(Materials!B106="","",Materials!B106)</f>
        <v>Sorghum Sudan</v>
      </c>
      <c r="D204" s="21"/>
    </row>
    <row r="205" spans="2:4">
      <c r="C205" s="21" t="str">
        <f>IF(Materials!B107="","",Materials!B107)</f>
        <v>Soybeans RR 2 Yield</v>
      </c>
      <c r="D205" s="21"/>
    </row>
    <row r="206" spans="2:4">
      <c r="C206" s="21" t="str">
        <f>IF(Materials!B108="","",Materials!B108)</f>
        <v>Sugar Beets RR Poncho</v>
      </c>
      <c r="D206" s="21"/>
    </row>
    <row r="207" spans="2:4">
      <c r="C207" s="21" t="str">
        <f>IF(Materials!B109="","",Materials!B109)</f>
        <v>Sunflower</v>
      </c>
      <c r="D207" s="21"/>
    </row>
    <row r="208" spans="2:4">
      <c r="C208" s="21" t="str">
        <f>IF(Materials!B110="","",Materials!B110)</f>
        <v>Wheat</v>
      </c>
      <c r="D208" s="21"/>
    </row>
    <row r="209" spans="3:4">
      <c r="C209" s="21" t="str">
        <f>IF(Materials!B111="","",Materials!B111)</f>
        <v>Wheat (Certified with Dividend Extreme)</v>
      </c>
      <c r="D209" s="21"/>
    </row>
    <row r="210" spans="3:4">
      <c r="C210" s="21" t="str">
        <f>IF(Materials!B112="","",Materials!B112)</f>
        <v>Wheat (Certified)</v>
      </c>
      <c r="D210" s="21"/>
    </row>
    <row r="211" spans="3:4">
      <c r="C211" s="21" t="str">
        <f>IF(Materials!B113="","",Materials!B113)</f>
        <v/>
      </c>
      <c r="D211" s="21"/>
    </row>
    <row r="212" spans="3:4">
      <c r="C212" s="21" t="str">
        <f>IF(Materials!B114="","",Materials!B114)</f>
        <v/>
      </c>
      <c r="D212" s="21"/>
    </row>
    <row r="213" spans="3:4">
      <c r="C213" s="21" t="str">
        <f>IF(Materials!B115="","",Materials!B115)</f>
        <v/>
      </c>
      <c r="D213" s="21"/>
    </row>
    <row r="214" spans="3:4">
      <c r="C214" s="21" t="str">
        <f>IF(Materials!B116="","",Materials!B116)</f>
        <v/>
      </c>
      <c r="D214" s="21"/>
    </row>
    <row r="215" spans="3:4">
      <c r="C215" s="21" t="str">
        <f>IF(Materials!B117="","",Materials!B117)</f>
        <v/>
      </c>
      <c r="D215" s="21"/>
    </row>
    <row r="216" spans="3:4">
      <c r="C216" s="21" t="str">
        <f>IF(Materials!B119="","",Materials!B119)</f>
        <v/>
      </c>
      <c r="D216" s="21"/>
    </row>
    <row r="217" spans="3:4">
      <c r="C217" s="21" t="str">
        <f>IF(Materials!B120="","",Materials!B120)</f>
        <v/>
      </c>
      <c r="D217" s="21"/>
    </row>
    <row r="218" spans="3:4">
      <c r="C218" s="21" t="str">
        <f>IF(Materials!B121="","",Materials!B121)</f>
        <v/>
      </c>
      <c r="D218" s="21"/>
    </row>
  </sheetData>
  <mergeCells count="37">
    <mergeCell ref="G61:H61"/>
    <mergeCell ref="C44:E44"/>
    <mergeCell ref="C45:E45"/>
    <mergeCell ref="C46:E46"/>
    <mergeCell ref="C47:E47"/>
    <mergeCell ref="C48:E48"/>
    <mergeCell ref="C49:E49"/>
    <mergeCell ref="C50:E50"/>
    <mergeCell ref="C51:E51"/>
    <mergeCell ref="F56:G56"/>
    <mergeCell ref="C60:E60"/>
    <mergeCell ref="G60:H60"/>
    <mergeCell ref="C43:E43"/>
    <mergeCell ref="C32:E32"/>
    <mergeCell ref="C33:E33"/>
    <mergeCell ref="C34:E34"/>
    <mergeCell ref="C35:E35"/>
    <mergeCell ref="C36:E36"/>
    <mergeCell ref="C37:E37"/>
    <mergeCell ref="C38:E38"/>
    <mergeCell ref="C39:E39"/>
    <mergeCell ref="C40:E40"/>
    <mergeCell ref="C41:E41"/>
    <mergeCell ref="C42:E42"/>
    <mergeCell ref="K5:K6"/>
    <mergeCell ref="L5:L6"/>
    <mergeCell ref="F30:F31"/>
    <mergeCell ref="G30:G31"/>
    <mergeCell ref="H30:I30"/>
    <mergeCell ref="J30:J31"/>
    <mergeCell ref="L30:L31"/>
    <mergeCell ref="I5:J5"/>
    <mergeCell ref="B5:B6"/>
    <mergeCell ref="C5:C6"/>
    <mergeCell ref="E5:E6"/>
    <mergeCell ref="F5:F6"/>
    <mergeCell ref="G5:H5"/>
  </mergeCells>
  <dataValidations count="5">
    <dataValidation type="list" allowBlank="1" showInputMessage="1" showErrorMessage="1" sqref="B32:B52">
      <formula1>$C$100:$C$218</formula1>
    </dataValidation>
    <dataValidation type="list" allowBlank="1" showInputMessage="1" showErrorMessage="1" sqref="B27">
      <formula1>$B$100:$B$197</formula1>
    </dataValidation>
    <dataValidation type="list" allowBlank="1" showInputMessage="1" showErrorMessage="1" sqref="C60:E60">
      <formula1>$F$100:$F$147</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3" orientation="portrait" r:id="rId1"/>
</worksheet>
</file>

<file path=xl/worksheets/sheet14.xml><?xml version="1.0" encoding="utf-8"?>
<worksheet xmlns="http://schemas.openxmlformats.org/spreadsheetml/2006/main" xmlns:r="http://schemas.openxmlformats.org/officeDocument/2006/relationships">
  <sheetPr codeName="Sheet58"/>
  <dimension ref="A1:V34"/>
  <sheetViews>
    <sheetView workbookViewId="0">
      <selection activeCell="L32" sqref="L32"/>
    </sheetView>
  </sheetViews>
  <sheetFormatPr defaultRowHeight="12.75"/>
  <cols>
    <col min="1" max="1" width="9.140625" style="13"/>
    <col min="2" max="2" width="10.5703125" style="13" customWidth="1"/>
    <col min="3" max="3" width="12" style="13" customWidth="1"/>
    <col min="4" max="4" width="11.42578125" style="13" customWidth="1"/>
    <col min="5" max="5" width="11.28515625" style="13" customWidth="1"/>
    <col min="6" max="6" width="11.5703125" style="13" customWidth="1"/>
    <col min="7" max="7" width="11.42578125" style="13" customWidth="1"/>
    <col min="8" max="8" width="15" style="13" customWidth="1"/>
    <col min="9" max="9" width="12" style="13" customWidth="1"/>
    <col min="10" max="10" width="14.85546875" style="13" customWidth="1"/>
    <col min="11" max="16384" width="9.140625" style="13"/>
  </cols>
  <sheetData>
    <row r="1" spans="12:22">
      <c r="L1" s="13" t="s">
        <v>418</v>
      </c>
      <c r="M1" s="13" t="s">
        <v>419</v>
      </c>
      <c r="N1" s="13" t="s">
        <v>420</v>
      </c>
      <c r="O1" s="13" t="s">
        <v>421</v>
      </c>
      <c r="P1" s="13" t="s">
        <v>422</v>
      </c>
      <c r="Q1" s="13" t="s">
        <v>423</v>
      </c>
      <c r="R1" s="13" t="s">
        <v>424</v>
      </c>
      <c r="S1" s="13" t="s">
        <v>425</v>
      </c>
      <c r="T1" s="13" t="s">
        <v>426</v>
      </c>
      <c r="U1" s="13" t="s">
        <v>427</v>
      </c>
    </row>
    <row r="2" spans="12:22">
      <c r="L2" s="13">
        <v>1</v>
      </c>
      <c r="M2" s="13">
        <f t="shared" ref="M2:U21" si="0">(B$33-B$34*$L2^0.5)^2</f>
        <v>0.93508899999999973</v>
      </c>
      <c r="N2" s="13">
        <f t="shared" si="0"/>
        <v>0.47472100000000006</v>
      </c>
      <c r="O2" s="13">
        <f t="shared" si="0"/>
        <v>0.56400099999999997</v>
      </c>
      <c r="P2" s="13">
        <f t="shared" si="0"/>
        <v>0.4900000000000001</v>
      </c>
      <c r="Q2" s="13">
        <f t="shared" si="0"/>
        <v>0.47196899999999992</v>
      </c>
      <c r="R2" s="13">
        <f t="shared" si="0"/>
        <v>0.60996100000000009</v>
      </c>
      <c r="S2" s="13">
        <f t="shared" si="0"/>
        <v>0.52272900000000011</v>
      </c>
      <c r="T2" s="13">
        <f t="shared" si="0"/>
        <v>0.64802500000000007</v>
      </c>
      <c r="U2" s="13">
        <f t="shared" si="0"/>
        <v>0.69222399999999995</v>
      </c>
      <c r="V2" s="25"/>
    </row>
    <row r="3" spans="12:22">
      <c r="L3" s="13">
        <f>1+L2</f>
        <v>2</v>
      </c>
      <c r="M3" s="13">
        <f t="shared" si="0"/>
        <v>0.80758038163990642</v>
      </c>
      <c r="N3" s="13">
        <f t="shared" si="0"/>
        <v>0.43724850927735592</v>
      </c>
      <c r="O3" s="13">
        <f t="shared" si="0"/>
        <v>0.50291418906134078</v>
      </c>
      <c r="P3" s="13">
        <f t="shared" si="0"/>
        <v>0.4386499871336445</v>
      </c>
      <c r="Q3" s="13">
        <f t="shared" si="0"/>
        <v>0.44338965987880286</v>
      </c>
      <c r="R3" s="13">
        <f t="shared" si="0"/>
        <v>0.54086685750362595</v>
      </c>
      <c r="S3" s="13">
        <f t="shared" si="0"/>
        <v>0.48567594563681826</v>
      </c>
      <c r="T3" s="13">
        <f t="shared" si="0"/>
        <v>0.59705191021023085</v>
      </c>
      <c r="U3" s="13">
        <f t="shared" si="0"/>
        <v>0.61783104757144203</v>
      </c>
      <c r="V3" s="25"/>
    </row>
    <row r="4" spans="12:22">
      <c r="L4" s="13">
        <f t="shared" ref="L4:L12" si="1">1+L3</f>
        <v>3</v>
      </c>
      <c r="M4" s="13">
        <f t="shared" si="0"/>
        <v>0.71607410032456997</v>
      </c>
      <c r="N4" s="13">
        <f t="shared" si="0"/>
        <v>0.40953932499004247</v>
      </c>
      <c r="O4" s="13">
        <f t="shared" si="0"/>
        <v>0.45841412781416585</v>
      </c>
      <c r="P4" s="13">
        <f t="shared" si="0"/>
        <v>0.40117450164076934</v>
      </c>
      <c r="Q4" s="13">
        <f t="shared" si="0"/>
        <v>0.42206514340944518</v>
      </c>
      <c r="R4" s="13">
        <f t="shared" si="0"/>
        <v>0.49066440070034867</v>
      </c>
      <c r="S4" s="13">
        <f t="shared" si="0"/>
        <v>0.45816761622160873</v>
      </c>
      <c r="T4" s="13">
        <f t="shared" si="0"/>
        <v>0.55935446535900235</v>
      </c>
      <c r="U4" s="13">
        <f t="shared" si="0"/>
        <v>0.56361409163868581</v>
      </c>
      <c r="V4" s="25"/>
    </row>
    <row r="5" spans="12:22">
      <c r="L5" s="13">
        <f t="shared" si="1"/>
        <v>4</v>
      </c>
      <c r="M5" s="13">
        <f t="shared" si="0"/>
        <v>0.64320399999999966</v>
      </c>
      <c r="N5" s="13">
        <f t="shared" si="0"/>
        <v>0.38688400000000001</v>
      </c>
      <c r="O5" s="13">
        <f t="shared" si="0"/>
        <v>0.42249999999999988</v>
      </c>
      <c r="P5" s="13">
        <f t="shared" si="0"/>
        <v>0.37088099999999996</v>
      </c>
      <c r="Q5" s="13">
        <f t="shared" si="0"/>
        <v>0.40449600000000002</v>
      </c>
      <c r="R5" s="13">
        <f t="shared" si="0"/>
        <v>0.45024100000000006</v>
      </c>
      <c r="S5" s="13">
        <f t="shared" si="0"/>
        <v>0.43560000000000004</v>
      </c>
      <c r="T5" s="13">
        <f t="shared" si="0"/>
        <v>0.52852899999999992</v>
      </c>
      <c r="U5" s="13">
        <f t="shared" si="0"/>
        <v>0.519841</v>
      </c>
      <c r="V5" s="25"/>
    </row>
    <row r="6" spans="12:22">
      <c r="L6" s="13">
        <f t="shared" si="1"/>
        <v>5</v>
      </c>
      <c r="M6" s="13">
        <f t="shared" si="0"/>
        <v>0.58224344632517844</v>
      </c>
      <c r="N6" s="13">
        <f t="shared" si="0"/>
        <v>0.36745836960736133</v>
      </c>
      <c r="O6" s="13">
        <f t="shared" si="0"/>
        <v>0.39207275680037612</v>
      </c>
      <c r="P6" s="13">
        <f t="shared" si="0"/>
        <v>0.34517718182317542</v>
      </c>
      <c r="Q6" s="13">
        <f t="shared" si="0"/>
        <v>0.38932674692572572</v>
      </c>
      <c r="R6" s="13">
        <f t="shared" si="0"/>
        <v>0.41606695505049113</v>
      </c>
      <c r="S6" s="13">
        <f t="shared" si="0"/>
        <v>0.4161897717803309</v>
      </c>
      <c r="T6" s="13">
        <f t="shared" si="0"/>
        <v>0.50209510823535897</v>
      </c>
      <c r="U6" s="13">
        <f t="shared" si="0"/>
        <v>0.4827421131823289</v>
      </c>
      <c r="V6" s="25"/>
    </row>
    <row r="7" spans="12:22">
      <c r="L7" s="13">
        <f t="shared" si="1"/>
        <v>6</v>
      </c>
      <c r="M7" s="13">
        <f t="shared" si="0"/>
        <v>0.52974261168591585</v>
      </c>
      <c r="N7" s="13">
        <f t="shared" si="0"/>
        <v>0.35032689109709297</v>
      </c>
      <c r="O7" s="13">
        <f t="shared" si="0"/>
        <v>0.36554301730804389</v>
      </c>
      <c r="P7" s="13">
        <f t="shared" si="0"/>
        <v>0.32273355764944822</v>
      </c>
      <c r="Q7" s="13">
        <f t="shared" si="0"/>
        <v>0.3758622101222534</v>
      </c>
      <c r="R7" s="13">
        <f t="shared" si="0"/>
        <v>0.38633202061964145</v>
      </c>
      <c r="S7" s="13">
        <f t="shared" si="0"/>
        <v>0.39902233383372521</v>
      </c>
      <c r="T7" s="13">
        <f t="shared" si="0"/>
        <v>0.47878068691110282</v>
      </c>
      <c r="U7" s="13">
        <f t="shared" si="0"/>
        <v>0.45038412030731279</v>
      </c>
      <c r="V7" s="25"/>
    </row>
    <row r="8" spans="12:22">
      <c r="L8" s="13">
        <f t="shared" si="1"/>
        <v>7</v>
      </c>
      <c r="M8" s="13">
        <f t="shared" si="0"/>
        <v>0.48365214023871145</v>
      </c>
      <c r="N8" s="13">
        <f t="shared" si="0"/>
        <v>0.33493380918391269</v>
      </c>
      <c r="O8" s="13">
        <f t="shared" si="0"/>
        <v>0.34196661636053971</v>
      </c>
      <c r="P8" s="13">
        <f t="shared" si="0"/>
        <v>0.3027603497565195</v>
      </c>
      <c r="Q8" s="13">
        <f t="shared" si="0"/>
        <v>0.36368942430830187</v>
      </c>
      <c r="R8" s="13">
        <f t="shared" si="0"/>
        <v>0.35996082800511897</v>
      </c>
      <c r="S8" s="13">
        <f t="shared" si="0"/>
        <v>0.38355437315740726</v>
      </c>
      <c r="T8" s="13">
        <f t="shared" si="0"/>
        <v>0.45783004840347474</v>
      </c>
      <c r="U8" s="13">
        <f t="shared" si="0"/>
        <v>0.42161854603387217</v>
      </c>
      <c r="V8" s="25"/>
    </row>
    <row r="9" spans="12:22">
      <c r="L9" s="13">
        <f t="shared" si="1"/>
        <v>8</v>
      </c>
      <c r="M9" s="13">
        <f t="shared" si="0"/>
        <v>0.44263676327981305</v>
      </c>
      <c r="N9" s="13">
        <f t="shared" si="0"/>
        <v>0.320917018554712</v>
      </c>
      <c r="O9" s="13">
        <f t="shared" si="0"/>
        <v>0.32072837812268157</v>
      </c>
      <c r="P9" s="13">
        <f t="shared" si="0"/>
        <v>0.28474297426728906</v>
      </c>
      <c r="Q9" s="13">
        <f t="shared" si="0"/>
        <v>0.35253931975760572</v>
      </c>
      <c r="R9" s="13">
        <f t="shared" si="0"/>
        <v>0.33625271500725185</v>
      </c>
      <c r="S9" s="13">
        <f t="shared" si="0"/>
        <v>0.36943189127363629</v>
      </c>
      <c r="T9" s="13">
        <f t="shared" si="0"/>
        <v>0.43875082042046182</v>
      </c>
      <c r="U9" s="13">
        <f t="shared" si="0"/>
        <v>0.39569709514288404</v>
      </c>
      <c r="V9" s="25"/>
    </row>
    <row r="10" spans="12:22">
      <c r="L10" s="13">
        <f t="shared" si="1"/>
        <v>9</v>
      </c>
      <c r="M10" s="13">
        <f t="shared" si="0"/>
        <v>0.40576899999999988</v>
      </c>
      <c r="N10" s="13">
        <f t="shared" si="0"/>
        <v>0.30802499999999994</v>
      </c>
      <c r="O10" s="13">
        <f t="shared" si="0"/>
        <v>0.30140099999999992</v>
      </c>
      <c r="P10" s="13">
        <f t="shared" si="0"/>
        <v>0.26832400000000001</v>
      </c>
      <c r="Q10" s="13">
        <f t="shared" si="0"/>
        <v>0.34222499999999995</v>
      </c>
      <c r="R10" s="13">
        <f t="shared" si="0"/>
        <v>0.31472099999999992</v>
      </c>
      <c r="S10" s="13">
        <f t="shared" si="0"/>
        <v>0.35640899999999998</v>
      </c>
      <c r="T10" s="13">
        <f t="shared" si="0"/>
        <v>0.42120100000000005</v>
      </c>
      <c r="U10" s="13">
        <f t="shared" si="0"/>
        <v>0.37209999999999988</v>
      </c>
      <c r="V10" s="25"/>
    </row>
    <row r="11" spans="12:22">
      <c r="L11" s="13">
        <f t="shared" si="1"/>
        <v>10</v>
      </c>
      <c r="M11" s="13">
        <f t="shared" si="0"/>
        <v>0.37237355726750004</v>
      </c>
      <c r="N11" s="13">
        <f t="shared" si="0"/>
        <v>0.2960746239143025</v>
      </c>
      <c r="O11" s="13">
        <f t="shared" si="0"/>
        <v>0.28367336557438111</v>
      </c>
      <c r="P11" s="13">
        <f t="shared" si="0"/>
        <v>0.25324318348683983</v>
      </c>
      <c r="Q11" s="13">
        <f t="shared" si="0"/>
        <v>0.33261038685316513</v>
      </c>
      <c r="R11" s="13">
        <f t="shared" si="0"/>
        <v>0.29501133305379423</v>
      </c>
      <c r="S11" s="13">
        <f t="shared" si="0"/>
        <v>0.3443066696475644</v>
      </c>
      <c r="T11" s="13">
        <f t="shared" si="0"/>
        <v>0.40493157686712605</v>
      </c>
      <c r="U11" s="13">
        <f t="shared" si="0"/>
        <v>0.35044882095439045</v>
      </c>
      <c r="V11" s="25"/>
    </row>
    <row r="12" spans="12:22">
      <c r="L12" s="13">
        <f t="shared" si="1"/>
        <v>11</v>
      </c>
      <c r="M12" s="13">
        <f t="shared" si="0"/>
        <v>0.34194064331483676</v>
      </c>
      <c r="N12" s="13">
        <f t="shared" si="0"/>
        <v>0.28492764223783656</v>
      </c>
      <c r="O12" s="13">
        <f t="shared" si="0"/>
        <v>0.26731060708067417</v>
      </c>
      <c r="P12" s="13">
        <f t="shared" si="0"/>
        <v>0.23930406193085599</v>
      </c>
      <c r="Q12" s="13">
        <f t="shared" si="0"/>
        <v>0.32359275228120699</v>
      </c>
      <c r="R12" s="13">
        <f t="shared" si="0"/>
        <v>0.27685620859453458</v>
      </c>
      <c r="S12" s="13">
        <f t="shared" si="0"/>
        <v>0.33298974726236269</v>
      </c>
      <c r="T12" s="13">
        <f t="shared" si="0"/>
        <v>0.38975456837812444</v>
      </c>
      <c r="U12" s="13">
        <f t="shared" si="0"/>
        <v>0.33045786663825838</v>
      </c>
      <c r="V12" s="25"/>
    </row>
    <row r="13" spans="12:22">
      <c r="L13" s="13">
        <f>1+L12</f>
        <v>12</v>
      </c>
      <c r="M13" s="13">
        <f t="shared" si="0"/>
        <v>0.31407420064914032</v>
      </c>
      <c r="N13" s="13">
        <f t="shared" si="0"/>
        <v>0.27447664998008492</v>
      </c>
      <c r="O13" s="13">
        <f t="shared" si="0"/>
        <v>0.25213025562833186</v>
      </c>
      <c r="P13" s="13">
        <f t="shared" si="0"/>
        <v>0.22635400328153865</v>
      </c>
      <c r="Q13" s="13">
        <f t="shared" si="0"/>
        <v>0.3150922868188904</v>
      </c>
      <c r="R13" s="13">
        <f t="shared" si="0"/>
        <v>0.26004780140069728</v>
      </c>
      <c r="S13" s="13">
        <f t="shared" si="0"/>
        <v>0.32235323244321745</v>
      </c>
      <c r="T13" s="13">
        <f t="shared" si="0"/>
        <v>0.37552393071800461</v>
      </c>
      <c r="U13" s="13">
        <f t="shared" si="0"/>
        <v>0.3119051832773716</v>
      </c>
      <c r="V13" s="25"/>
    </row>
    <row r="14" spans="12:22">
      <c r="L14" s="13">
        <f t="shared" ref="L14:L19" si="2">1+L13</f>
        <v>13</v>
      </c>
      <c r="M14" s="13">
        <f t="shared" si="0"/>
        <v>0.28845926553767204</v>
      </c>
      <c r="N14" s="13">
        <f t="shared" si="0"/>
        <v>0.26463623359039606</v>
      </c>
      <c r="O14" s="13">
        <f t="shared" si="0"/>
        <v>0.23798720328754555</v>
      </c>
      <c r="P14" s="13">
        <f t="shared" si="0"/>
        <v>0.21427162728165322</v>
      </c>
      <c r="Q14" s="13">
        <f t="shared" si="0"/>
        <v>0.30704552218817283</v>
      </c>
      <c r="R14" s="13">
        <f t="shared" si="0"/>
        <v>0.24442083898354883</v>
      </c>
      <c r="S14" s="13">
        <f t="shared" si="0"/>
        <v>0.31231362388314837</v>
      </c>
      <c r="T14" s="13">
        <f t="shared" si="0"/>
        <v>0.36212352290738653</v>
      </c>
      <c r="U14" s="13">
        <f t="shared" si="0"/>
        <v>0.29461426268671564</v>
      </c>
      <c r="V14" s="25"/>
    </row>
    <row r="15" spans="12:22">
      <c r="L15" s="13">
        <f t="shared" si="2"/>
        <v>14</v>
      </c>
      <c r="M15" s="13">
        <f t="shared" si="0"/>
        <v>0.26484046659672628</v>
      </c>
      <c r="N15" s="13">
        <f t="shared" si="0"/>
        <v>0.25533714009025266</v>
      </c>
      <c r="O15" s="13">
        <f t="shared" si="0"/>
        <v>0.22476379710665753</v>
      </c>
      <c r="P15" s="13">
        <f t="shared" si="0"/>
        <v>0.20295851928524988</v>
      </c>
      <c r="Q15" s="13">
        <f t="shared" si="0"/>
        <v>0.29940099855320479</v>
      </c>
      <c r="R15" s="13">
        <f t="shared" si="0"/>
        <v>0.22984131904457203</v>
      </c>
      <c r="S15" s="13">
        <f t="shared" si="0"/>
        <v>0.30280321904345592</v>
      </c>
      <c r="T15" s="13">
        <f t="shared" si="0"/>
        <v>0.34945917828666312</v>
      </c>
      <c r="U15" s="13">
        <f t="shared" si="0"/>
        <v>0.27844199270842246</v>
      </c>
      <c r="V15" s="25"/>
    </row>
    <row r="16" spans="12:22">
      <c r="L16" s="13">
        <f t="shared" si="2"/>
        <v>15</v>
      </c>
      <c r="M16" s="13">
        <f t="shared" si="0"/>
        <v>0.2430073411907572</v>
      </c>
      <c r="N16" s="13">
        <f t="shared" si="0"/>
        <v>0.24652229509580381</v>
      </c>
      <c r="O16" s="13">
        <f t="shared" si="0"/>
        <v>0.21236307418431866</v>
      </c>
      <c r="P16" s="13">
        <f t="shared" si="0"/>
        <v>0.19233357151328787</v>
      </c>
      <c r="Q16" s="13">
        <f t="shared" si="0"/>
        <v>0.29211630563089042</v>
      </c>
      <c r="R16" s="13">
        <f t="shared" si="0"/>
        <v>0.21619880447642217</v>
      </c>
      <c r="S16" s="13">
        <f t="shared" si="0"/>
        <v>0.29376622132500235</v>
      </c>
      <c r="T16" s="13">
        <f t="shared" si="0"/>
        <v>0.33745329002662078</v>
      </c>
      <c r="U16" s="13">
        <f t="shared" si="0"/>
        <v>0.26327042840486203</v>
      </c>
      <c r="V16" s="25"/>
    </row>
    <row r="17" spans="2:22">
      <c r="L17" s="13">
        <f t="shared" si="2"/>
        <v>16</v>
      </c>
      <c r="M17" s="13">
        <f t="shared" si="0"/>
        <v>0.22278399999999987</v>
      </c>
      <c r="N17" s="13">
        <f t="shared" si="0"/>
        <v>0.23814399999999999</v>
      </c>
      <c r="O17" s="13">
        <f t="shared" si="0"/>
        <v>0.20070399999999997</v>
      </c>
      <c r="P17" s="13">
        <f t="shared" si="0"/>
        <v>0.18232900000000005</v>
      </c>
      <c r="Q17" s="13">
        <f t="shared" si="0"/>
        <v>0.28515600000000002</v>
      </c>
      <c r="R17" s="13">
        <f t="shared" si="0"/>
        <v>0.203401</v>
      </c>
      <c r="S17" s="13">
        <f t="shared" si="0"/>
        <v>0.28515600000000002</v>
      </c>
      <c r="T17" s="13">
        <f t="shared" si="0"/>
        <v>0.32604099999999997</v>
      </c>
      <c r="U17" s="13">
        <f t="shared" si="0"/>
        <v>0.24900099999999994</v>
      </c>
      <c r="V17" s="25"/>
    </row>
    <row r="18" spans="2:22">
      <c r="L18" s="13">
        <f t="shared" si="2"/>
        <v>17</v>
      </c>
      <c r="M18" s="13">
        <f t="shared" si="0"/>
        <v>0.20402166249426656</v>
      </c>
      <c r="N18" s="13">
        <f t="shared" si="0"/>
        <v>0.23016190770242853</v>
      </c>
      <c r="O18" s="13">
        <f t="shared" si="0"/>
        <v>0.18971802940869809</v>
      </c>
      <c r="P18" s="13">
        <f t="shared" si="0"/>
        <v>0.17288746792483037</v>
      </c>
      <c r="Q18" s="13">
        <f t="shared" si="0"/>
        <v>0.27849010092600496</v>
      </c>
      <c r="R18" s="13">
        <f t="shared" si="0"/>
        <v>0.19136983526642617</v>
      </c>
      <c r="S18" s="13">
        <f t="shared" si="0"/>
        <v>0.27693311126132947</v>
      </c>
      <c r="T18" s="13">
        <f t="shared" si="0"/>
        <v>0.3151674462824185</v>
      </c>
      <c r="U18" s="13">
        <f t="shared" si="0"/>
        <v>0.23555032969944517</v>
      </c>
      <c r="V18" s="25"/>
    </row>
    <row r="19" spans="2:22">
      <c r="L19" s="13">
        <f t="shared" si="2"/>
        <v>18</v>
      </c>
      <c r="M19" s="13">
        <f t="shared" si="0"/>
        <v>0.18659314491971973</v>
      </c>
      <c r="N19" s="13">
        <f t="shared" si="0"/>
        <v>0.22254152783206796</v>
      </c>
      <c r="O19" s="13">
        <f t="shared" si="0"/>
        <v>0.17934656718402256</v>
      </c>
      <c r="P19" s="13">
        <f t="shared" si="0"/>
        <v>0.16395996140093352</v>
      </c>
      <c r="Q19" s="13">
        <f t="shared" si="0"/>
        <v>0.27209297963640872</v>
      </c>
      <c r="R19" s="13">
        <f t="shared" si="0"/>
        <v>0.18003857251087776</v>
      </c>
      <c r="S19" s="13">
        <f t="shared" si="0"/>
        <v>0.26906383691045449</v>
      </c>
      <c r="T19" s="13">
        <f t="shared" si="0"/>
        <v>0.30478573063069264</v>
      </c>
      <c r="U19" s="13">
        <f t="shared" si="0"/>
        <v>0.22284714271432615</v>
      </c>
      <c r="V19" s="25"/>
    </row>
    <row r="20" spans="2:22">
      <c r="L20" s="13">
        <f>1+L19</f>
        <v>19</v>
      </c>
      <c r="M20" s="13">
        <f t="shared" si="0"/>
        <v>0.17038871065094577</v>
      </c>
      <c r="N20" s="13">
        <f t="shared" si="0"/>
        <v>0.21525310142355558</v>
      </c>
      <c r="O20" s="13">
        <f t="shared" si="0"/>
        <v>0.16953905622087587</v>
      </c>
      <c r="P20" s="13">
        <f t="shared" si="0"/>
        <v>0.15550419028999754</v>
      </c>
      <c r="Q20" s="13">
        <f t="shared" si="0"/>
        <v>0.26594252312603217</v>
      </c>
      <c r="R20" s="13">
        <f t="shared" si="0"/>
        <v>0.16934962908715717</v>
      </c>
      <c r="S20" s="13">
        <f t="shared" si="0"/>
        <v>0.26151908422750586</v>
      </c>
      <c r="T20" s="13">
        <f t="shared" si="0"/>
        <v>0.29485538832515923</v>
      </c>
      <c r="U20" s="13">
        <f t="shared" si="0"/>
        <v>0.21082994176553407</v>
      </c>
      <c r="V20" s="25"/>
    </row>
    <row r="21" spans="2:22">
      <c r="L21" s="13">
        <f>1+L20</f>
        <v>20</v>
      </c>
      <c r="M21" s="13">
        <f t="shared" si="0"/>
        <v>0.15531289265035694</v>
      </c>
      <c r="N21" s="13">
        <f t="shared" si="0"/>
        <v>0.20827073921472258</v>
      </c>
      <c r="O21" s="13">
        <f t="shared" si="0"/>
        <v>0.16025151360075235</v>
      </c>
      <c r="P21" s="13">
        <f t="shared" si="0"/>
        <v>0.14748336364635059</v>
      </c>
      <c r="Q21" s="13">
        <f t="shared" si="0"/>
        <v>0.26001949385145162</v>
      </c>
      <c r="R21" s="13">
        <f t="shared" si="0"/>
        <v>0.15925291010098244</v>
      </c>
      <c r="S21" s="13">
        <f t="shared" si="0"/>
        <v>0.25427354356066173</v>
      </c>
      <c r="T21" s="13">
        <f t="shared" si="0"/>
        <v>0.28534121647071786</v>
      </c>
      <c r="U21" s="13">
        <f t="shared" si="0"/>
        <v>0.19944522636465797</v>
      </c>
      <c r="V21" s="25"/>
    </row>
    <row r="31" spans="2:22" ht="47.25">
      <c r="B31" s="27" t="s">
        <v>246</v>
      </c>
      <c r="C31" s="28" t="s">
        <v>246</v>
      </c>
      <c r="D31" s="29" t="s">
        <v>246</v>
      </c>
      <c r="E31" s="28" t="s">
        <v>246</v>
      </c>
      <c r="F31" s="29" t="s">
        <v>260</v>
      </c>
      <c r="G31" s="28" t="s">
        <v>260</v>
      </c>
      <c r="H31" s="29" t="s">
        <v>430</v>
      </c>
      <c r="I31" s="28" t="s">
        <v>430</v>
      </c>
      <c r="J31" s="29" t="s">
        <v>430</v>
      </c>
      <c r="K31" s="28" t="s">
        <v>222</v>
      </c>
    </row>
    <row r="32" spans="2:22" ht="83.25" customHeight="1">
      <c r="B32" s="30" t="s">
        <v>247</v>
      </c>
      <c r="C32" s="31" t="s">
        <v>251</v>
      </c>
      <c r="D32" s="32" t="s">
        <v>254</v>
      </c>
      <c r="E32" s="31" t="s">
        <v>257</v>
      </c>
      <c r="F32" s="32" t="s">
        <v>261</v>
      </c>
      <c r="G32" s="31" t="s">
        <v>264</v>
      </c>
      <c r="H32" s="32" t="s">
        <v>268</v>
      </c>
      <c r="I32" s="31" t="s">
        <v>272</v>
      </c>
      <c r="J32" s="32" t="s">
        <v>276</v>
      </c>
      <c r="K32" s="31" t="s">
        <v>417</v>
      </c>
    </row>
    <row r="33" spans="1:10" ht="15.75">
      <c r="A33" s="13" t="s">
        <v>428</v>
      </c>
      <c r="B33" s="26" t="s">
        <v>248</v>
      </c>
      <c r="C33" s="19" t="s">
        <v>252</v>
      </c>
      <c r="D33" s="20" t="s">
        <v>255</v>
      </c>
      <c r="E33" s="19" t="s">
        <v>258</v>
      </c>
      <c r="F33" s="20" t="s">
        <v>262</v>
      </c>
      <c r="G33" s="19" t="s">
        <v>265</v>
      </c>
      <c r="H33" s="20" t="s">
        <v>269</v>
      </c>
      <c r="I33" s="19" t="s">
        <v>273</v>
      </c>
      <c r="J33" s="20" t="s">
        <v>277</v>
      </c>
    </row>
    <row r="34" spans="1:10" ht="15.75">
      <c r="A34" s="13" t="s">
        <v>429</v>
      </c>
      <c r="B34" s="26" t="s">
        <v>249</v>
      </c>
      <c r="C34" s="19" t="s">
        <v>253</v>
      </c>
      <c r="D34" s="20" t="s">
        <v>256</v>
      </c>
      <c r="E34" s="19" t="s">
        <v>259</v>
      </c>
      <c r="F34" s="20" t="s">
        <v>263</v>
      </c>
      <c r="G34" s="19" t="s">
        <v>266</v>
      </c>
      <c r="H34" s="20" t="s">
        <v>270</v>
      </c>
      <c r="I34" s="19" t="s">
        <v>274</v>
      </c>
      <c r="J34" s="20" t="s">
        <v>278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L32"/>
  <sheetViews>
    <sheetView workbookViewId="0">
      <selection activeCell="E3" sqref="E3:F9"/>
    </sheetView>
  </sheetViews>
  <sheetFormatPr defaultRowHeight="12.75"/>
  <cols>
    <col min="1" max="1" width="24" style="66" customWidth="1"/>
    <col min="2" max="4" width="9.140625" style="66"/>
    <col min="5" max="5" width="17.5703125" style="66" customWidth="1"/>
    <col min="6" max="6" width="10.5703125" style="66" customWidth="1"/>
    <col min="7" max="7" width="12" style="66" customWidth="1"/>
    <col min="8" max="8" width="11.5703125" style="66" customWidth="1"/>
    <col min="9" max="9" width="12" style="66" customWidth="1"/>
    <col min="10" max="10" width="14.85546875" style="66" customWidth="1"/>
    <col min="11" max="16384" width="9.140625" style="66"/>
  </cols>
  <sheetData>
    <row r="1" spans="1:12">
      <c r="A1" s="68" t="s">
        <v>405</v>
      </c>
      <c r="B1" s="143">
        <v>2011</v>
      </c>
      <c r="C1" s="147"/>
      <c r="E1" s="66" t="s">
        <v>455</v>
      </c>
    </row>
    <row r="2" spans="1:12">
      <c r="A2" s="69" t="s">
        <v>99</v>
      </c>
      <c r="B2" s="141">
        <v>12</v>
      </c>
      <c r="C2" s="148" t="s">
        <v>102</v>
      </c>
      <c r="E2" s="66" t="s">
        <v>456</v>
      </c>
      <c r="F2" s="66" t="s">
        <v>457</v>
      </c>
      <c r="L2" s="67"/>
    </row>
    <row r="3" spans="1:12">
      <c r="A3" s="69" t="s">
        <v>100</v>
      </c>
      <c r="B3" s="141">
        <v>3</v>
      </c>
      <c r="C3" s="149" t="s">
        <v>543</v>
      </c>
      <c r="E3" s="151" t="s">
        <v>449</v>
      </c>
      <c r="F3" s="151">
        <v>1850</v>
      </c>
      <c r="L3" s="67"/>
    </row>
    <row r="4" spans="1:12">
      <c r="A4" s="70" t="s">
        <v>482</v>
      </c>
      <c r="B4" s="144">
        <v>1.1499999999999999</v>
      </c>
      <c r="C4" s="149"/>
      <c r="E4" s="151" t="s">
        <v>450</v>
      </c>
      <c r="F4" s="151">
        <v>545</v>
      </c>
      <c r="L4" s="67"/>
    </row>
    <row r="5" spans="1:12">
      <c r="A5" s="70" t="s">
        <v>483</v>
      </c>
      <c r="B5" s="141">
        <f>B3*B4</f>
        <v>3.4499999999999997</v>
      </c>
      <c r="C5" s="148" t="s">
        <v>104</v>
      </c>
      <c r="E5" s="151" t="s">
        <v>451</v>
      </c>
      <c r="F5" s="151">
        <v>4074</v>
      </c>
      <c r="L5" s="67"/>
    </row>
    <row r="6" spans="1:12">
      <c r="A6" s="69" t="s">
        <v>101</v>
      </c>
      <c r="B6" s="142">
        <v>8.7999999999999995E-2</v>
      </c>
      <c r="C6" s="148" t="s">
        <v>103</v>
      </c>
      <c r="E6" s="151" t="s">
        <v>452</v>
      </c>
      <c r="F6" s="151">
        <v>1980</v>
      </c>
      <c r="L6" s="67"/>
    </row>
    <row r="7" spans="1:12">
      <c r="A7" s="69" t="s">
        <v>404</v>
      </c>
      <c r="B7" s="145">
        <v>0.02</v>
      </c>
      <c r="C7" s="150"/>
      <c r="E7" s="151" t="s">
        <v>453</v>
      </c>
      <c r="F7" s="151">
        <v>4343</v>
      </c>
      <c r="L7" s="67"/>
    </row>
    <row r="8" spans="1:12">
      <c r="A8" s="69" t="s">
        <v>124</v>
      </c>
      <c r="B8" s="145">
        <v>0.04</v>
      </c>
      <c r="C8" s="150"/>
      <c r="E8" s="151" t="s">
        <v>454</v>
      </c>
      <c r="F8" s="151">
        <v>1975</v>
      </c>
      <c r="L8" s="67"/>
    </row>
    <row r="9" spans="1:12">
      <c r="A9" s="69" t="s">
        <v>441</v>
      </c>
      <c r="B9" s="145">
        <v>0.08</v>
      </c>
      <c r="C9" s="149"/>
      <c r="E9" s="135" t="s">
        <v>508</v>
      </c>
      <c r="F9" s="135">
        <v>875</v>
      </c>
      <c r="L9" s="67"/>
    </row>
    <row r="10" spans="1:12">
      <c r="A10" s="69" t="s">
        <v>442</v>
      </c>
      <c r="B10" s="146">
        <v>6</v>
      </c>
      <c r="C10" s="149" t="s">
        <v>443</v>
      </c>
      <c r="L10" s="67"/>
    </row>
    <row r="11" spans="1:12" ht="15.75" customHeight="1">
      <c r="A11" s="69" t="s">
        <v>459</v>
      </c>
      <c r="B11" s="145">
        <v>0.01</v>
      </c>
      <c r="C11" s="149"/>
      <c r="E11" s="71"/>
      <c r="F11" s="71"/>
      <c r="G11" s="71"/>
      <c r="L11" s="67"/>
    </row>
    <row r="12" spans="1:12" ht="12.75" customHeight="1">
      <c r="A12" s="69" t="s">
        <v>525</v>
      </c>
      <c r="B12" s="141">
        <v>5</v>
      </c>
      <c r="C12" s="149"/>
      <c r="E12" s="71"/>
      <c r="F12" s="71"/>
      <c r="G12" s="71"/>
      <c r="L12" s="67"/>
    </row>
    <row r="13" spans="1:12" ht="12.75" customHeight="1">
      <c r="E13" s="71"/>
      <c r="F13" s="71"/>
      <c r="G13" s="71"/>
      <c r="L13" s="67"/>
    </row>
    <row r="14" spans="1:12" ht="12.75" customHeight="1">
      <c r="E14" s="71"/>
      <c r="F14" s="71"/>
      <c r="G14" s="71"/>
      <c r="L14" s="67"/>
    </row>
    <row r="15" spans="1:12" ht="12.75" customHeight="1">
      <c r="E15" s="71"/>
      <c r="F15" s="71"/>
      <c r="G15" s="71"/>
      <c r="L15" s="67"/>
    </row>
    <row r="16" spans="1:12" ht="12.75" customHeight="1">
      <c r="E16" s="71"/>
      <c r="F16" s="71"/>
      <c r="G16" s="71"/>
      <c r="L16" s="67"/>
    </row>
    <row r="17" spans="5:12" ht="12.75" customHeight="1">
      <c r="E17" s="71"/>
      <c r="F17" s="71"/>
      <c r="G17" s="71"/>
      <c r="L17" s="67"/>
    </row>
    <row r="18" spans="5:12" ht="12.75" customHeight="1">
      <c r="E18" s="71"/>
      <c r="F18" s="71"/>
      <c r="G18" s="71"/>
      <c r="L18" s="67"/>
    </row>
    <row r="19" spans="5:12" ht="12.75" customHeight="1">
      <c r="E19" s="71"/>
      <c r="F19" s="71"/>
      <c r="G19" s="71"/>
      <c r="L19" s="67"/>
    </row>
    <row r="20" spans="5:12" ht="12.75" customHeight="1">
      <c r="E20" s="71"/>
      <c r="F20" s="71"/>
      <c r="G20" s="71"/>
      <c r="L20" s="67"/>
    </row>
    <row r="21" spans="5:12" ht="12.75" customHeight="1">
      <c r="E21" s="71"/>
      <c r="F21" s="71"/>
      <c r="G21" s="71"/>
      <c r="L21" s="67"/>
    </row>
    <row r="22" spans="5:12" ht="12.75" customHeight="1">
      <c r="E22" s="71"/>
      <c r="F22" s="71"/>
      <c r="G22" s="71"/>
    </row>
    <row r="23" spans="5:12" ht="12.75" customHeight="1">
      <c r="E23" s="71"/>
      <c r="F23" s="71"/>
      <c r="G23" s="71"/>
    </row>
    <row r="32" spans="5:12" ht="13.5" customHeight="1"/>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3"/>
  <dimension ref="A1:AB13"/>
  <sheetViews>
    <sheetView workbookViewId="0">
      <pane xSplit="1" topLeftCell="U1" activePane="topRight" state="frozen"/>
      <selection pane="topRight" activeCell="X2" sqref="X2:AB7"/>
    </sheetView>
  </sheetViews>
  <sheetFormatPr defaultRowHeight="12.75"/>
  <cols>
    <col min="1" max="1" width="20.7109375" style="163" customWidth="1"/>
    <col min="2" max="2" width="30.5703125" style="163" customWidth="1"/>
    <col min="3" max="3" width="35" style="163" customWidth="1"/>
    <col min="4" max="5" width="11.5703125" style="163" customWidth="1"/>
    <col min="6" max="6" width="13.28515625" style="163" customWidth="1"/>
    <col min="7" max="7" width="13.7109375" style="163" customWidth="1"/>
    <col min="8" max="9" width="11.7109375" style="163" customWidth="1"/>
    <col min="10" max="10" width="10.28515625" style="163" customWidth="1"/>
    <col min="11" max="11" width="13.28515625" style="163" customWidth="1"/>
    <col min="12" max="12" width="14" style="163" customWidth="1"/>
    <col min="13" max="13" width="12.28515625" style="163" customWidth="1"/>
    <col min="14" max="14" width="9.85546875" style="163" customWidth="1"/>
    <col min="15" max="16" width="11.7109375" style="163" customWidth="1"/>
    <col min="17" max="17" width="32.85546875" style="163" bestFit="1" customWidth="1"/>
    <col min="18" max="18" width="35.5703125" style="163" customWidth="1"/>
    <col min="19" max="19" width="18.42578125" style="163" customWidth="1"/>
    <col min="20" max="20" width="12.28515625" style="163" customWidth="1"/>
    <col min="21" max="21" width="16" style="163" customWidth="1"/>
    <col min="22" max="22" width="11" style="163" customWidth="1"/>
    <col min="23" max="23" width="25.28515625" style="163" bestFit="1" customWidth="1"/>
    <col min="24" max="24" width="26.5703125" style="163" customWidth="1"/>
    <col min="25" max="25" width="42.140625" style="163" customWidth="1"/>
    <col min="26" max="26" width="6.7109375" style="163" customWidth="1"/>
    <col min="27" max="27" width="7.85546875" style="163" customWidth="1"/>
    <col min="28" max="16384" width="9.140625" style="163"/>
  </cols>
  <sheetData>
    <row r="1" spans="1:28" ht="47.25" customHeight="1">
      <c r="A1" s="158" t="s">
        <v>127</v>
      </c>
      <c r="B1" s="159" t="s">
        <v>125</v>
      </c>
      <c r="C1" s="160" t="s">
        <v>126</v>
      </c>
      <c r="D1" s="160" t="s">
        <v>122</v>
      </c>
      <c r="E1" s="161" t="s">
        <v>399</v>
      </c>
      <c r="F1" s="160" t="s">
        <v>123</v>
      </c>
      <c r="G1" s="160" t="s">
        <v>292</v>
      </c>
      <c r="H1" s="162" t="s">
        <v>400</v>
      </c>
      <c r="I1" s="161" t="s">
        <v>401</v>
      </c>
      <c r="J1" s="161" t="s">
        <v>293</v>
      </c>
      <c r="K1" s="161" t="s">
        <v>402</v>
      </c>
      <c r="L1" s="161" t="s">
        <v>403</v>
      </c>
      <c r="M1" s="161" t="s">
        <v>294</v>
      </c>
      <c r="N1" s="161" t="s">
        <v>406</v>
      </c>
      <c r="O1" s="161" t="s">
        <v>407</v>
      </c>
      <c r="P1" s="161" t="s">
        <v>408</v>
      </c>
      <c r="R1" s="164" t="s">
        <v>129</v>
      </c>
      <c r="S1" s="165" t="s">
        <v>130</v>
      </c>
      <c r="T1" s="165" t="s">
        <v>131</v>
      </c>
      <c r="U1" s="165" t="s">
        <v>132</v>
      </c>
      <c r="V1" s="166" t="s">
        <v>133</v>
      </c>
      <c r="X1" s="15" t="s">
        <v>229</v>
      </c>
      <c r="Y1" s="15" t="s">
        <v>129</v>
      </c>
      <c r="Z1" s="15" t="s">
        <v>230</v>
      </c>
      <c r="AA1" s="15" t="s">
        <v>231</v>
      </c>
      <c r="AB1" s="15" t="s">
        <v>232</v>
      </c>
    </row>
    <row r="2" spans="1:28" ht="15.75">
      <c r="A2" s="152" t="s">
        <v>485</v>
      </c>
      <c r="B2" s="153" t="s">
        <v>134</v>
      </c>
      <c r="C2" s="154" t="s">
        <v>486</v>
      </c>
      <c r="D2" s="155">
        <v>68000</v>
      </c>
      <c r="E2" s="156">
        <v>10000</v>
      </c>
      <c r="F2" s="156">
        <v>10</v>
      </c>
      <c r="G2" s="156">
        <v>2500</v>
      </c>
      <c r="H2" s="156">
        <v>200</v>
      </c>
      <c r="I2" s="167">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68000</v>
      </c>
      <c r="J2"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2.4752000000000023</v>
      </c>
      <c r="K2"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23332.779487182444</v>
      </c>
      <c r="L2"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21997.821900206571</v>
      </c>
      <c r="M2" s="168">
        <f>IF(PowerUnits[[#This Row],[Est. Hours per Year]]=0,0,(PowerUnits[[#This Row],[Calculated Beg Yr. Value]]-PowerUnits[[#This Row],[Calculated End Yr. Value]])/PowerUnits[[#This Row],[Est. Hours per Year]])</f>
        <v>6.6747879348793688</v>
      </c>
      <c r="N2" s="168">
        <f>IF(PowerUnits[[#This Row],[Est. Hours per Year]]=0,0,PowerUnits[[#This Row],[Calculated Beg Yr. Value]]*'General Variables'!$B$7/PowerUnits[[#This Row],[Est. Hours per Year]])</f>
        <v>2.3332779487182442</v>
      </c>
      <c r="O2" s="168">
        <f>IF(PowerUnits[[#This Row],[Est. Hours per Year]]=0,0,PowerUnits[[#This Row],[Calculated Beg Yr. Value]]*'General Variables'!$B$8/PowerUnits[[#This Row],[Est. Hours per Year]])</f>
        <v>4.6665558974364885</v>
      </c>
      <c r="P2" s="168">
        <f>SUM(PowerUnits[[#This Row],[Depreciation per Hour]:[Opportunity Cost per Hour]])</f>
        <v>13.674621781034102</v>
      </c>
      <c r="R2" s="169" t="s">
        <v>134</v>
      </c>
      <c r="S2" s="170" t="s">
        <v>135</v>
      </c>
      <c r="T2" s="171" t="s">
        <v>136</v>
      </c>
      <c r="U2" s="171" t="s">
        <v>137</v>
      </c>
      <c r="V2" s="172">
        <v>12000</v>
      </c>
      <c r="X2" s="15" t="s">
        <v>233</v>
      </c>
      <c r="Y2" s="15" t="s">
        <v>234</v>
      </c>
      <c r="Z2" s="15" t="s">
        <v>235</v>
      </c>
      <c r="AA2" s="15" t="s">
        <v>236</v>
      </c>
      <c r="AB2" s="15" t="s">
        <v>237</v>
      </c>
    </row>
    <row r="3" spans="1:28" ht="15.75">
      <c r="A3" s="152" t="s">
        <v>289</v>
      </c>
      <c r="B3" s="153" t="s">
        <v>296</v>
      </c>
      <c r="C3" s="154" t="s">
        <v>298</v>
      </c>
      <c r="D3" s="155">
        <v>141262</v>
      </c>
      <c r="E3" s="156"/>
      <c r="F3" s="156">
        <v>5</v>
      </c>
      <c r="G3" s="156">
        <v>1500</v>
      </c>
      <c r="H3" s="156">
        <v>300</v>
      </c>
      <c r="I3" s="167">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141262</v>
      </c>
      <c r="J3"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1.3984938</v>
      </c>
      <c r="K3"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57197.648304573449</v>
      </c>
      <c r="L3"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51517.668176589737</v>
      </c>
      <c r="M3" s="168">
        <f>IF(PowerUnits[[#This Row],[Est. Hours per Year]]=0,0,(PowerUnits[[#This Row],[Calculated Beg Yr. Value]]-PowerUnits[[#This Row],[Calculated End Yr. Value]])/PowerUnits[[#This Row],[Est. Hours per Year]])</f>
        <v>18.933267093279039</v>
      </c>
      <c r="N3" s="168">
        <f>IF(PowerUnits[[#This Row],[Est. Hours per Year]]=0,0,PowerUnits[[#This Row],[Calculated Beg Yr. Value]]*'General Variables'!$B$7/PowerUnits[[#This Row],[Est. Hours per Year]])</f>
        <v>3.8131765536382303</v>
      </c>
      <c r="O3" s="168">
        <f>IF(PowerUnits[[#This Row],[Est. Hours per Year]]=0,0,PowerUnits[[#This Row],[Calculated Beg Yr. Value]]*'General Variables'!$B$8/PowerUnits[[#This Row],[Est. Hours per Year]])</f>
        <v>7.6263531072764605</v>
      </c>
      <c r="P3" s="168">
        <f>SUM(PowerUnits[[#This Row],[Depreciation per Hour]:[Opportunity Cost per Hour]])</f>
        <v>30.372796754193729</v>
      </c>
      <c r="R3" s="173" t="s">
        <v>138</v>
      </c>
      <c r="S3" s="173" t="s">
        <v>135</v>
      </c>
      <c r="T3" s="174" t="s">
        <v>139</v>
      </c>
      <c r="U3" s="174" t="s">
        <v>137</v>
      </c>
      <c r="V3" s="175">
        <v>16000</v>
      </c>
      <c r="X3" s="15" t="s">
        <v>233</v>
      </c>
      <c r="Y3" s="15" t="s">
        <v>238</v>
      </c>
      <c r="Z3" s="15" t="s">
        <v>239</v>
      </c>
      <c r="AA3" s="15" t="s">
        <v>240</v>
      </c>
      <c r="AB3" s="15" t="s">
        <v>241</v>
      </c>
    </row>
    <row r="4" spans="1:28" ht="15.75">
      <c r="A4" s="152" t="s">
        <v>290</v>
      </c>
      <c r="B4" s="153" t="s">
        <v>297</v>
      </c>
      <c r="C4" s="154" t="s">
        <v>295</v>
      </c>
      <c r="D4" s="155">
        <v>200000</v>
      </c>
      <c r="E4" s="156"/>
      <c r="F4" s="156">
        <v>5</v>
      </c>
      <c r="G4" s="156">
        <v>1000</v>
      </c>
      <c r="H4" s="156">
        <v>200</v>
      </c>
      <c r="I4" s="167">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200000</v>
      </c>
      <c r="J4"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18.659804066068592</v>
      </c>
      <c r="K4"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52680.770198687154</v>
      </c>
      <c r="L4"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41254.107727047434</v>
      </c>
      <c r="M4" s="168">
        <f>IF(PowerUnits[[#This Row],[Est. Hours per Year]]=0,0,(PowerUnits[[#This Row],[Calculated Beg Yr. Value]]-PowerUnits[[#This Row],[Calculated End Yr. Value]])/PowerUnits[[#This Row],[Est. Hours per Year]])</f>
        <v>57.133312358198602</v>
      </c>
      <c r="N4" s="168">
        <f>IF(PowerUnits[[#This Row],[Est. Hours per Year]]=0,0,PowerUnits[[#This Row],[Calculated Beg Yr. Value]]*'General Variables'!$B$7/PowerUnits[[#This Row],[Est. Hours per Year]])</f>
        <v>5.2680770198687155</v>
      </c>
      <c r="O4" s="168">
        <f>IF(PowerUnits[[#This Row],[Est. Hours per Year]]=0,0,PowerUnits[[#This Row],[Calculated Beg Yr. Value]]*'General Variables'!$B$8/PowerUnits[[#This Row],[Est. Hours per Year]])</f>
        <v>10.536154039737431</v>
      </c>
      <c r="P4" s="168">
        <f>SUM(PowerUnits[[#This Row],[Depreciation per Hour]:[Opportunity Cost per Hour]])</f>
        <v>72.937543417804747</v>
      </c>
      <c r="R4" s="173" t="s">
        <v>160</v>
      </c>
      <c r="S4" s="173" t="s">
        <v>141</v>
      </c>
      <c r="T4" s="174" t="s">
        <v>161</v>
      </c>
      <c r="U4" s="174" t="s">
        <v>162</v>
      </c>
      <c r="V4" s="175">
        <v>3000</v>
      </c>
      <c r="X4" s="15" t="s">
        <v>233</v>
      </c>
      <c r="Y4" s="15" t="s">
        <v>242</v>
      </c>
      <c r="Z4" s="15" t="s">
        <v>243</v>
      </c>
      <c r="AA4" s="15" t="s">
        <v>244</v>
      </c>
      <c r="AB4" s="15" t="s">
        <v>245</v>
      </c>
    </row>
    <row r="5" spans="1:28" ht="15.75">
      <c r="A5" s="152" t="s">
        <v>361</v>
      </c>
      <c r="B5" s="153" t="s">
        <v>362</v>
      </c>
      <c r="C5" s="154" t="s">
        <v>363</v>
      </c>
      <c r="D5" s="155"/>
      <c r="E5" s="157">
        <v>30000</v>
      </c>
      <c r="F5" s="156">
        <v>5</v>
      </c>
      <c r="G5" s="156">
        <v>1500</v>
      </c>
      <c r="H5" s="156">
        <v>300</v>
      </c>
      <c r="I5" s="167">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86911.886358027448</v>
      </c>
      <c r="J5"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17.20855349888944</v>
      </c>
      <c r="K5"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30000</v>
      </c>
      <c r="L5"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28049.382286350745</v>
      </c>
      <c r="M5" s="168">
        <f>IF(PowerUnits[[#This Row],[Est. Hours per Year]]=0,0,(PowerUnits[[#This Row],[Calculated Beg Yr. Value]]-PowerUnits[[#This Row],[Calculated End Yr. Value]])/PowerUnits[[#This Row],[Est. Hours per Year]])</f>
        <v>6.5020590454975169</v>
      </c>
      <c r="N5" s="168">
        <f>IF(PowerUnits[[#This Row],[Est. Hours per Year]]=0,0,PowerUnits[[#This Row],[Calculated Beg Yr. Value]]*'General Variables'!$B$7/PowerUnits[[#This Row],[Est. Hours per Year]])</f>
        <v>2</v>
      </c>
      <c r="O5" s="168">
        <f>IF(PowerUnits[[#This Row],[Est. Hours per Year]]=0,0,PowerUnits[[#This Row],[Calculated Beg Yr. Value]]*'General Variables'!$B$8/PowerUnits[[#This Row],[Est. Hours per Year]])</f>
        <v>4</v>
      </c>
      <c r="P5" s="168">
        <f>SUM(PowerUnits[[#This Row],[Depreciation per Hour]:[Opportunity Cost per Hour]])</f>
        <v>12.502059045497518</v>
      </c>
      <c r="R5" s="173" t="s">
        <v>165</v>
      </c>
      <c r="S5" s="173" t="s">
        <v>141</v>
      </c>
      <c r="T5" s="174" t="s">
        <v>166</v>
      </c>
      <c r="U5" s="174" t="s">
        <v>143</v>
      </c>
      <c r="V5" s="175">
        <v>3000</v>
      </c>
      <c r="X5" s="15" t="s">
        <v>246</v>
      </c>
      <c r="Y5" s="15" t="s">
        <v>247</v>
      </c>
      <c r="Z5" s="15" t="s">
        <v>248</v>
      </c>
      <c r="AA5" s="15" t="s">
        <v>249</v>
      </c>
      <c r="AB5" s="15" t="s">
        <v>250</v>
      </c>
    </row>
    <row r="6" spans="1:28" ht="15.75">
      <c r="A6" s="152" t="s">
        <v>364</v>
      </c>
      <c r="B6" s="153" t="s">
        <v>134</v>
      </c>
      <c r="C6" s="154" t="s">
        <v>365</v>
      </c>
      <c r="D6" s="155">
        <v>15000</v>
      </c>
      <c r="E6" s="157">
        <v>10000</v>
      </c>
      <c r="F6" s="156">
        <v>3</v>
      </c>
      <c r="G6" s="156">
        <v>2400</v>
      </c>
      <c r="H6" s="156">
        <v>800</v>
      </c>
      <c r="I6" s="167">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6"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6"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4305.8784490787084</v>
      </c>
      <c r="L6"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3269.9685166771897</v>
      </c>
      <c r="M6" s="168">
        <f>IF(PowerUnits[[#This Row],[Est. Hours per Year]]=0,0,(PowerUnits[[#This Row],[Calculated Beg Yr. Value]]-PowerUnits[[#This Row],[Calculated End Yr. Value]])/PowerUnits[[#This Row],[Est. Hours per Year]])</f>
        <v>1.2948874155018983</v>
      </c>
      <c r="N6" s="168">
        <f>IF(PowerUnits[[#This Row],[Est. Hours per Year]]=0,0,PowerUnits[[#This Row],[Calculated Beg Yr. Value]]*'General Variables'!$B$7/PowerUnits[[#This Row],[Est. Hours per Year]])</f>
        <v>0.10764696122696771</v>
      </c>
      <c r="O6" s="168">
        <f>IF(PowerUnits[[#This Row],[Est. Hours per Year]]=0,0,PowerUnits[[#This Row],[Calculated Beg Yr. Value]]*'General Variables'!$B$8/PowerUnits[[#This Row],[Est. Hours per Year]])</f>
        <v>0.21529392245393542</v>
      </c>
      <c r="P6" s="168">
        <f>SUM(PowerUnits[[#This Row],[Depreciation per Hour]:[Opportunity Cost per Hour]])</f>
        <v>1.6178282991828015</v>
      </c>
      <c r="R6" s="173" t="s">
        <v>185</v>
      </c>
      <c r="S6" s="173" t="s">
        <v>141</v>
      </c>
      <c r="T6" s="174" t="s">
        <v>186</v>
      </c>
      <c r="U6" s="174" t="s">
        <v>137</v>
      </c>
      <c r="V6" s="175">
        <v>4000</v>
      </c>
      <c r="X6" s="15" t="s">
        <v>246</v>
      </c>
      <c r="Y6" s="15" t="s">
        <v>257</v>
      </c>
      <c r="Z6" s="15" t="s">
        <v>258</v>
      </c>
      <c r="AA6" s="15" t="s">
        <v>259</v>
      </c>
      <c r="AB6" s="15"/>
    </row>
    <row r="7" spans="1:28" ht="15.75">
      <c r="A7" s="152" t="s">
        <v>366</v>
      </c>
      <c r="B7" s="153" t="s">
        <v>291</v>
      </c>
      <c r="C7" s="154" t="s">
        <v>365</v>
      </c>
      <c r="D7" s="155">
        <v>10000</v>
      </c>
      <c r="E7" s="156"/>
      <c r="F7" s="156">
        <v>5</v>
      </c>
      <c r="G7" s="156">
        <v>5000</v>
      </c>
      <c r="H7" s="156">
        <v>1000</v>
      </c>
      <c r="I7" s="167">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7"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0.70331971384002512</v>
      </c>
      <c r="K7"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1317.1364468796214</v>
      </c>
      <c r="L7"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923.74287250665088</v>
      </c>
      <c r="M7" s="168">
        <f>IF(PowerUnits[[#This Row],[Est. Hours per Year]]=0,0,(PowerUnits[[#This Row],[Calculated Beg Yr. Value]]-PowerUnits[[#This Row],[Calculated End Yr. Value]])/PowerUnits[[#This Row],[Est. Hours per Year]])</f>
        <v>0.39339357437297051</v>
      </c>
      <c r="N7" s="168">
        <f>IF(PowerUnits[[#This Row],[Est. Hours per Year]]=0,0,PowerUnits[[#This Row],[Calculated Beg Yr. Value]]*'General Variables'!$B$7/PowerUnits[[#This Row],[Est. Hours per Year]])</f>
        <v>2.634272893759243E-2</v>
      </c>
      <c r="O7" s="168">
        <f>IF(PowerUnits[[#This Row],[Est. Hours per Year]]=0,0,PowerUnits[[#This Row],[Calculated Beg Yr. Value]]*'General Variables'!$B$8/PowerUnits[[#This Row],[Est. Hours per Year]])</f>
        <v>5.268545787518486E-2</v>
      </c>
      <c r="P7" s="168">
        <f>SUM(PowerUnits[[#This Row],[Depreciation per Hour]:[Opportunity Cost per Hour]])</f>
        <v>0.4724217611857478</v>
      </c>
      <c r="R7" s="173" t="s">
        <v>214</v>
      </c>
      <c r="S7" s="173" t="s">
        <v>141</v>
      </c>
      <c r="T7" s="174" t="s">
        <v>215</v>
      </c>
      <c r="U7" s="174" t="s">
        <v>137</v>
      </c>
      <c r="V7" s="175">
        <v>3000</v>
      </c>
      <c r="X7" s="15" t="s">
        <v>267</v>
      </c>
      <c r="Y7" s="15" t="s">
        <v>268</v>
      </c>
      <c r="Z7" s="15" t="s">
        <v>269</v>
      </c>
      <c r="AA7" s="15" t="s">
        <v>270</v>
      </c>
      <c r="AB7" s="15" t="s">
        <v>271</v>
      </c>
    </row>
    <row r="8" spans="1:28" ht="15.75">
      <c r="A8" s="152" t="s">
        <v>436</v>
      </c>
      <c r="B8" s="153" t="s">
        <v>134</v>
      </c>
      <c r="C8" s="154" t="s">
        <v>365</v>
      </c>
      <c r="D8" s="155">
        <v>15000</v>
      </c>
      <c r="E8" s="157">
        <v>10000</v>
      </c>
      <c r="F8" s="156">
        <v>3</v>
      </c>
      <c r="G8" s="156">
        <v>2400</v>
      </c>
      <c r="H8" s="156">
        <v>800</v>
      </c>
      <c r="I8" s="167">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8"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8"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4305.8784490787084</v>
      </c>
      <c r="L8"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3269.9685166771897</v>
      </c>
      <c r="M8" s="168">
        <f>IF(PowerUnits[[#This Row],[Est. Hours per Year]]=0,0,(PowerUnits[[#This Row],[Calculated Beg Yr. Value]]-PowerUnits[[#This Row],[Calculated End Yr. Value]])/PowerUnits[[#This Row],[Est. Hours per Year]])</f>
        <v>1.2948874155018983</v>
      </c>
      <c r="N8" s="168">
        <f>IF(PowerUnits[[#This Row],[Est. Hours per Year]]=0,0,PowerUnits[[#This Row],[Calculated Beg Yr. Value]]*'General Variables'!$B$7/PowerUnits[[#This Row],[Est. Hours per Year]])</f>
        <v>0.10764696122696771</v>
      </c>
      <c r="O8" s="168">
        <f>IF(PowerUnits[[#This Row],[Est. Hours per Year]]=0,0,PowerUnits[[#This Row],[Calculated Beg Yr. Value]]*'General Variables'!$B$8/PowerUnits[[#This Row],[Est. Hours per Year]])</f>
        <v>0.21529392245393542</v>
      </c>
      <c r="P8" s="168">
        <f>SUM(PowerUnits[[#This Row],[Depreciation per Hour]:[Opportunity Cost per Hour]])</f>
        <v>1.6178282991828015</v>
      </c>
      <c r="R8" s="15" t="s">
        <v>291</v>
      </c>
      <c r="S8" s="15" t="s">
        <v>217</v>
      </c>
      <c r="T8" s="16">
        <v>0.02</v>
      </c>
      <c r="U8" s="16">
        <v>1.5</v>
      </c>
      <c r="V8" s="18"/>
    </row>
    <row r="9" spans="1:28">
      <c r="A9" s="152" t="s">
        <v>526</v>
      </c>
      <c r="B9" s="153"/>
      <c r="C9" s="154"/>
      <c r="D9" s="155"/>
      <c r="E9" s="156"/>
      <c r="F9" s="156"/>
      <c r="G9" s="156"/>
      <c r="H9" s="156"/>
      <c r="I9" s="167">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68">
        <f>IF(PowerUnits[[#This Row],[Est. Hours per Year]]=0,0,(PowerUnits[[#This Row],[Calculated Beg Yr. Value]]-PowerUnits[[#This Row],[Calculated End Yr. Value]])/PowerUnits[[#This Row],[Est. Hours per Year]])</f>
        <v>0</v>
      </c>
      <c r="N9" s="168">
        <f>IF(PowerUnits[[#This Row],[Est. Hours per Year]]=0,0,PowerUnits[[#This Row],[Calculated Beg Yr. Value]]*'General Variables'!$B$7/PowerUnits[[#This Row],[Est. Hours per Year]])</f>
        <v>0</v>
      </c>
      <c r="O9" s="168">
        <f>IF(PowerUnits[[#This Row],[Est. Hours per Year]]=0,0,PowerUnits[[#This Row],[Calculated Beg Yr. Value]]*'General Variables'!$B$8/PowerUnits[[#This Row],[Est. Hours per Year]])</f>
        <v>0</v>
      </c>
      <c r="P9" s="168">
        <f>SUM(PowerUnits[[#This Row],[Depreciation per Hour]:[Opportunity Cost per Hour]])</f>
        <v>0</v>
      </c>
    </row>
    <row r="10" spans="1:28">
      <c r="A10" s="152"/>
      <c r="B10" s="153"/>
      <c r="C10" s="154"/>
      <c r="D10" s="155"/>
      <c r="E10" s="156"/>
      <c r="F10" s="156"/>
      <c r="G10" s="156"/>
      <c r="H10" s="156"/>
      <c r="I10" s="167">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68">
        <f>IF(PowerUnits[[#This Row],[Est. Hours per Year]]=0,0,(PowerUnits[[#This Row],[Calculated Beg Yr. Value]]-PowerUnits[[#This Row],[Calculated End Yr. Value]])/PowerUnits[[#This Row],[Est. Hours per Year]])</f>
        <v>0</v>
      </c>
      <c r="N10" s="168">
        <f>IF(PowerUnits[[#This Row],[Est. Hours per Year]]=0,0,PowerUnits[[#This Row],[Calculated Beg Yr. Value]]*'General Variables'!$B$7/PowerUnits[[#This Row],[Est. Hours per Year]])</f>
        <v>0</v>
      </c>
      <c r="O10" s="168">
        <f>IF(PowerUnits[[#This Row],[Est. Hours per Year]]=0,0,PowerUnits[[#This Row],[Calculated Beg Yr. Value]]*'General Variables'!$B$8/PowerUnits[[#This Row],[Est. Hours per Year]])</f>
        <v>0</v>
      </c>
      <c r="P10" s="168">
        <f>SUM(PowerUnits[[#This Row],[Depreciation per Hour]:[Opportunity Cost per Hour]])</f>
        <v>0</v>
      </c>
    </row>
    <row r="11" spans="1:28">
      <c r="A11" s="152"/>
      <c r="B11" s="153"/>
      <c r="C11" s="154"/>
      <c r="D11" s="155"/>
      <c r="E11" s="156"/>
      <c r="F11" s="156"/>
      <c r="G11" s="156"/>
      <c r="H11" s="156"/>
      <c r="I11" s="167">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68">
        <f>IF(PowerUnits[[#This Row],[Est. Hours per Year]]=0,0,(PowerUnits[[#This Row],[Calculated Beg Yr. Value]]-PowerUnits[[#This Row],[Calculated End Yr. Value]])/PowerUnits[[#This Row],[Est. Hours per Year]])</f>
        <v>0</v>
      </c>
      <c r="N11" s="168">
        <f>IF(PowerUnits[[#This Row],[Est. Hours per Year]]=0,0,PowerUnits[[#This Row],[Calculated Beg Yr. Value]]*'General Variables'!$B$7/PowerUnits[[#This Row],[Est. Hours per Year]])</f>
        <v>0</v>
      </c>
      <c r="O11" s="168">
        <f>IF(PowerUnits[[#This Row],[Est. Hours per Year]]=0,0,PowerUnits[[#This Row],[Calculated Beg Yr. Value]]*'General Variables'!$B$8/PowerUnits[[#This Row],[Est. Hours per Year]])</f>
        <v>0</v>
      </c>
      <c r="P11" s="168">
        <f>SUM(PowerUnits[[#This Row],[Depreciation per Hour]:[Opportunity Cost per Hour]])</f>
        <v>0</v>
      </c>
    </row>
    <row r="12" spans="1:28">
      <c r="A12" s="152"/>
      <c r="B12" s="153"/>
      <c r="C12" s="154"/>
      <c r="D12" s="155"/>
      <c r="E12" s="156"/>
      <c r="F12" s="156"/>
      <c r="G12" s="156"/>
      <c r="H12" s="156"/>
      <c r="I12" s="167">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6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6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6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68">
        <f>IF(PowerUnits[[#This Row],[Est. Hours per Year]]=0,0,(PowerUnits[[#This Row],[Calculated Beg Yr. Value]]-PowerUnits[[#This Row],[Calculated End Yr. Value]])/PowerUnits[[#This Row],[Est. Hours per Year]])</f>
        <v>0</v>
      </c>
      <c r="N12" s="168">
        <f>IF(PowerUnits[[#This Row],[Est. Hours per Year]]=0,0,PowerUnits[[#This Row],[Calculated Beg Yr. Value]]*'General Variables'!$B$7/PowerUnits[[#This Row],[Est. Hours per Year]])</f>
        <v>0</v>
      </c>
      <c r="O12" s="168">
        <f>IF(PowerUnits[[#This Row],[Est. Hours per Year]]=0,0,PowerUnits[[#This Row],[Calculated Beg Yr. Value]]*'General Variables'!$B$8/PowerUnits[[#This Row],[Est. Hours per Year]])</f>
        <v>0</v>
      </c>
      <c r="P12" s="168">
        <f>SUM(PowerUnits[[#This Row],[Depreciation per Hour]:[Opportunity Cost per Hour]])</f>
        <v>0</v>
      </c>
    </row>
    <row r="13" spans="1:28" ht="15.75" customHeight="1"/>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sheetPr codeName="Sheet4">
    <pageSetUpPr fitToPage="1"/>
  </sheetPr>
  <dimension ref="A1:AO102"/>
  <sheetViews>
    <sheetView workbookViewId="0">
      <pane xSplit="2" ySplit="1" topLeftCell="C2" activePane="bottomRight" state="frozen"/>
      <selection pane="topRight" activeCell="E1" sqref="E1"/>
      <selection pane="bottomLeft" activeCell="A2" sqref="A2"/>
      <selection pane="bottomRight" activeCell="I20" sqref="I20"/>
    </sheetView>
  </sheetViews>
  <sheetFormatPr defaultRowHeight="12.75"/>
  <cols>
    <col min="1" max="1" width="23.85546875" style="186" customWidth="1"/>
    <col min="2" max="2" width="14.5703125" style="203" customWidth="1"/>
    <col min="3" max="3" width="17.85546875" style="203" customWidth="1"/>
    <col min="4" max="4" width="23.42578125" style="203" customWidth="1"/>
    <col min="5" max="6" width="11.5703125" style="186" customWidth="1"/>
    <col min="7" max="7" width="9" style="186" customWidth="1"/>
    <col min="8" max="8" width="10.5703125" style="186" customWidth="1"/>
    <col min="9" max="9" width="13.28515625" style="186" customWidth="1"/>
    <col min="10" max="10" width="11.5703125" style="186" customWidth="1"/>
    <col min="11" max="11" width="17.85546875" style="186" customWidth="1"/>
    <col min="12" max="12" width="10" style="186" customWidth="1"/>
    <col min="13" max="13" width="7.85546875" style="186" customWidth="1"/>
    <col min="14" max="15" width="12.7109375" style="186" customWidth="1"/>
    <col min="16" max="16" width="11.42578125" style="186" customWidth="1"/>
    <col min="17" max="18" width="13.7109375" style="186" customWidth="1"/>
    <col min="19" max="19" width="9.140625" style="202"/>
    <col min="20" max="20" width="11.5703125" style="202" customWidth="1"/>
    <col min="21" max="21" width="10.7109375" style="202" customWidth="1"/>
    <col min="22" max="22" width="9.140625" style="186"/>
    <col min="23" max="23" width="32.85546875" style="186" bestFit="1" customWidth="1"/>
    <col min="24" max="24" width="20.42578125" style="186" bestFit="1" customWidth="1"/>
    <col min="25" max="26" width="6.7109375" style="186" customWidth="1"/>
    <col min="27" max="27" width="11" style="186" bestFit="1" customWidth="1"/>
    <col min="28" max="29" width="9.140625" style="186"/>
    <col min="30" max="30" width="28.140625" style="186" customWidth="1"/>
    <col min="31" max="31" width="40.5703125" style="186" bestFit="1" customWidth="1"/>
    <col min="32" max="33" width="6.7109375" style="186" customWidth="1"/>
    <col min="34" max="34" width="7.85546875" style="186" customWidth="1"/>
    <col min="35" max="36" width="9.140625" style="186"/>
    <col min="37" max="37" width="19.5703125" style="186" bestFit="1" customWidth="1"/>
    <col min="38" max="38" width="9.85546875" style="186" bestFit="1" customWidth="1"/>
    <col min="39" max="39" width="29.7109375" style="186" customWidth="1"/>
    <col min="40" max="16384" width="9.140625" style="186"/>
  </cols>
  <sheetData>
    <row r="1" spans="1:41" s="179" customFormat="1" ht="44.25" customHeight="1">
      <c r="A1" s="176" t="s">
        <v>0</v>
      </c>
      <c r="B1" s="177" t="s">
        <v>89</v>
      </c>
      <c r="C1" s="177" t="s">
        <v>125</v>
      </c>
      <c r="D1" s="177" t="s">
        <v>126</v>
      </c>
      <c r="E1" s="177" t="s">
        <v>122</v>
      </c>
      <c r="F1" s="177" t="s">
        <v>409</v>
      </c>
      <c r="G1" s="177" t="s">
        <v>123</v>
      </c>
      <c r="H1" s="177" t="s">
        <v>360</v>
      </c>
      <c r="I1" s="177" t="s">
        <v>394</v>
      </c>
      <c r="J1" s="177" t="s">
        <v>128</v>
      </c>
      <c r="K1" s="177" t="s">
        <v>288</v>
      </c>
      <c r="L1" s="177" t="s">
        <v>397</v>
      </c>
      <c r="M1" s="177" t="s">
        <v>398</v>
      </c>
      <c r="N1" s="177" t="s">
        <v>396</v>
      </c>
      <c r="O1" s="178" t="s">
        <v>411</v>
      </c>
      <c r="P1" s="178" t="s">
        <v>395</v>
      </c>
      <c r="Q1" s="178" t="s">
        <v>410</v>
      </c>
      <c r="R1" s="178" t="s">
        <v>412</v>
      </c>
      <c r="S1" s="178" t="s">
        <v>413</v>
      </c>
      <c r="T1" s="178" t="s">
        <v>414</v>
      </c>
      <c r="U1" s="178" t="s">
        <v>415</v>
      </c>
      <c r="W1" s="22" t="s">
        <v>129</v>
      </c>
      <c r="X1" s="180" t="s">
        <v>130</v>
      </c>
      <c r="Y1" s="181" t="s">
        <v>131</v>
      </c>
      <c r="Z1" s="181" t="s">
        <v>132</v>
      </c>
      <c r="AA1" s="182" t="s">
        <v>133</v>
      </c>
      <c r="AD1" s="23" t="s">
        <v>284</v>
      </c>
      <c r="AE1" s="23" t="s">
        <v>129</v>
      </c>
      <c r="AF1" s="23" t="s">
        <v>285</v>
      </c>
      <c r="AG1" s="23" t="s">
        <v>286</v>
      </c>
      <c r="AH1" s="23" t="s">
        <v>287</v>
      </c>
      <c r="AK1" s="258" t="s">
        <v>279</v>
      </c>
      <c r="AL1" s="258"/>
      <c r="AM1" s="258"/>
      <c r="AO1" s="183" t="s">
        <v>299</v>
      </c>
    </row>
    <row r="2" spans="1:41" ht="12.75" customHeight="1">
      <c r="A2" s="204" t="s">
        <v>18</v>
      </c>
      <c r="B2" s="205" t="s">
        <v>3</v>
      </c>
      <c r="C2" s="206"/>
      <c r="D2" s="206"/>
      <c r="E2" s="207"/>
      <c r="F2" s="208"/>
      <c r="G2" s="207"/>
      <c r="H2" s="207"/>
      <c r="I2" s="209"/>
      <c r="J2" s="210"/>
      <c r="K2" s="206"/>
      <c r="L2" s="208"/>
      <c r="M2" s="211"/>
      <c r="N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 s="184">
        <f>IF(Operations[[#This Row],[Calc List Price]]=0,0,IF(Operations[[#This Row],[Units per Hour]]*Operations[[#This Row],[Annual Use]]=0,0,(Operations[[#This Row],[Calc Beg Yr. Value]]-Operations[[#This Row],[Calc End Yr. Value]])/(Operations[[#This Row],[Annual Use]])))</f>
        <v>0</v>
      </c>
      <c r="S2" s="185">
        <f>IF(Operations[[#This Row],[Annual Use]]=0,0,Operations[[#This Row],[Calc Beg Yr. Value]]*'General Variables'!$B$7/Operations[[#This Row],[Annual Use]])</f>
        <v>0</v>
      </c>
      <c r="T2" s="185">
        <f>IF(Operations[[#This Row],[Annual Use]]=0,0,Operations[[#This Row],[Calc Beg Yr. Value]]*'General Variables'!$B$8/Operations[[#This Row],[Annual Use]])</f>
        <v>0</v>
      </c>
      <c r="U2" s="185">
        <f>SUM(Operations[[#This Row],[Depreciation per Unit]:[Opportunity Cost per Unit]])</f>
        <v>0</v>
      </c>
      <c r="W2" s="15" t="s">
        <v>140</v>
      </c>
      <c r="X2" s="15" t="s">
        <v>141</v>
      </c>
      <c r="Y2" s="16" t="s">
        <v>142</v>
      </c>
      <c r="Z2" s="16" t="s">
        <v>143</v>
      </c>
      <c r="AA2" s="18">
        <v>3000</v>
      </c>
      <c r="AD2" s="15" t="s">
        <v>246</v>
      </c>
      <c r="AE2" s="15" t="s">
        <v>247</v>
      </c>
      <c r="AF2" s="15" t="s">
        <v>248</v>
      </c>
      <c r="AG2" s="15" t="s">
        <v>249</v>
      </c>
      <c r="AH2" s="15">
        <v>0</v>
      </c>
      <c r="AK2" s="258"/>
      <c r="AL2" s="258"/>
      <c r="AM2" s="258"/>
      <c r="AO2" s="187" t="str">
        <f>IF(PowerUnits[[#This Row],[Name]]=0,"",PowerUnits[[#This Row],[Name]])</f>
        <v>100 HP Tractor</v>
      </c>
    </row>
    <row r="3" spans="1:41" ht="12.75" customHeight="1">
      <c r="A3" s="204" t="s">
        <v>484</v>
      </c>
      <c r="B3" s="205" t="s">
        <v>83</v>
      </c>
      <c r="C3" s="206"/>
      <c r="D3" s="206"/>
      <c r="E3" s="207"/>
      <c r="F3" s="208"/>
      <c r="G3" s="206"/>
      <c r="H3" s="206"/>
      <c r="I3" s="212">
        <v>40</v>
      </c>
      <c r="J3" s="210">
        <v>1.1000000000000001</v>
      </c>
      <c r="K3" s="206" t="s">
        <v>289</v>
      </c>
      <c r="L3" s="208">
        <v>6.36</v>
      </c>
      <c r="M3" s="211"/>
      <c r="N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3" s="184">
        <f>IF(Operations[[#This Row],[Calc List Price]]=0,0,IF(Operations[[#This Row],[Units per Hour]]*Operations[[#This Row],[Annual Use]]=0,0,(Operations[[#This Row],[Calc Beg Yr. Value]]-Operations[[#This Row],[Calc End Yr. Value]])/(Operations[[#This Row],[Annual Use]])))</f>
        <v>0</v>
      </c>
      <c r="S3" s="185">
        <f>IF(Operations[[#This Row],[Annual Use]]=0,0,Operations[[#This Row],[Calc Beg Yr. Value]]*'General Variables'!$B$7/Operations[[#This Row],[Annual Use]])</f>
        <v>0</v>
      </c>
      <c r="T3" s="185">
        <f>IF(Operations[[#This Row],[Annual Use]]=0,0,Operations[[#This Row],[Calc Beg Yr. Value]]*'General Variables'!$B$8/Operations[[#This Row],[Annual Use]])</f>
        <v>0</v>
      </c>
      <c r="U3" s="185">
        <f>SUM(Operations[[#This Row],[Depreciation per Unit]:[Opportunity Cost per Unit]])</f>
        <v>0</v>
      </c>
      <c r="W3" s="15" t="s">
        <v>144</v>
      </c>
      <c r="X3" s="15" t="s">
        <v>141</v>
      </c>
      <c r="Y3" s="16" t="s">
        <v>145</v>
      </c>
      <c r="Z3" s="16" t="s">
        <v>143</v>
      </c>
      <c r="AA3" s="18">
        <v>1500</v>
      </c>
      <c r="AD3" s="15" t="s">
        <v>246</v>
      </c>
      <c r="AE3" s="15" t="s">
        <v>251</v>
      </c>
      <c r="AF3" s="15" t="s">
        <v>252</v>
      </c>
      <c r="AG3" s="15" t="s">
        <v>253</v>
      </c>
      <c r="AH3" s="15"/>
      <c r="AK3" s="163" t="s">
        <v>280</v>
      </c>
      <c r="AL3" s="163" t="s">
        <v>281</v>
      </c>
      <c r="AM3" s="188" t="s">
        <v>282</v>
      </c>
      <c r="AO3" s="187" t="str">
        <f>IF(PowerUnits[[#This Row],[Name]]=0,"",PowerUnits[[#This Row],[Name]])</f>
        <v>175 HP Tractor</v>
      </c>
    </row>
    <row r="4" spans="1:41" ht="12.75" customHeight="1">
      <c r="A4" s="204" t="s">
        <v>309</v>
      </c>
      <c r="B4" s="205" t="s">
        <v>83</v>
      </c>
      <c r="C4" s="206" t="s">
        <v>367</v>
      </c>
      <c r="D4" s="206" t="s">
        <v>391</v>
      </c>
      <c r="E4" s="213">
        <v>25000</v>
      </c>
      <c r="F4" s="208">
        <v>15500</v>
      </c>
      <c r="G4" s="207">
        <v>5</v>
      </c>
      <c r="H4" s="207">
        <v>500</v>
      </c>
      <c r="I4" s="212">
        <v>7.8571428571428585</v>
      </c>
      <c r="J4" s="210">
        <v>1.1000000000000001</v>
      </c>
      <c r="K4" s="206" t="s">
        <v>289</v>
      </c>
      <c r="L4" s="208">
        <v>6.3642857142857157</v>
      </c>
      <c r="M4" s="211"/>
      <c r="N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0.819303488630438</v>
      </c>
      <c r="P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12068.552829558223</v>
      </c>
      <c r="Q4"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11259.603007682819</v>
      </c>
      <c r="R4" s="184">
        <f>IF(Operations[[#This Row],[Calc List Price]]=0,0,IF(Operations[[#This Row],[Units per Hour]]*Operations[[#This Row],[Annual Use]]=0,0,(Operations[[#This Row],[Calc Beg Yr. Value]]-Operations[[#This Row],[Calc End Yr. Value]])/(Operations[[#This Row],[Annual Use]])))</f>
        <v>1.6178996437508066</v>
      </c>
      <c r="S4" s="185">
        <f>IF(Operations[[#This Row],[Annual Use]]=0,0,Operations[[#This Row],[Calc Beg Yr. Value]]*'General Variables'!$B$7/Operations[[#This Row],[Annual Use]])</f>
        <v>0.4827421131823289</v>
      </c>
      <c r="T4" s="185">
        <f>IF(Operations[[#This Row],[Annual Use]]=0,0,Operations[[#This Row],[Calc Beg Yr. Value]]*'General Variables'!$B$8/Operations[[#This Row],[Annual Use]])</f>
        <v>0.9654842263646578</v>
      </c>
      <c r="U4" s="185">
        <f>SUM(Operations[[#This Row],[Depreciation per Unit]:[Opportunity Cost per Unit]])</f>
        <v>3.0661259832977934</v>
      </c>
      <c r="W4" s="15" t="s">
        <v>146</v>
      </c>
      <c r="X4" s="15" t="s">
        <v>141</v>
      </c>
      <c r="Y4" s="16" t="s">
        <v>147</v>
      </c>
      <c r="Z4" s="16" t="s">
        <v>143</v>
      </c>
      <c r="AA4" s="18">
        <v>2000</v>
      </c>
      <c r="AD4" s="15" t="s">
        <v>246</v>
      </c>
      <c r="AE4" s="15" t="s">
        <v>254</v>
      </c>
      <c r="AF4" s="15" t="s">
        <v>255</v>
      </c>
      <c r="AG4" s="15" t="s">
        <v>256</v>
      </c>
      <c r="AH4" s="15"/>
      <c r="AK4" s="163" t="s">
        <v>216</v>
      </c>
      <c r="AL4" s="189">
        <v>15</v>
      </c>
      <c r="AM4" s="189">
        <v>2</v>
      </c>
      <c r="AO4" s="187" t="str">
        <f>IF(PowerUnits[[#This Row],[Name]]=0,"",PowerUnits[[#This Row],[Name]])</f>
        <v>Combine</v>
      </c>
    </row>
    <row r="5" spans="1:41" ht="12.75" customHeight="1">
      <c r="A5" s="204" t="s">
        <v>310</v>
      </c>
      <c r="B5" s="205" t="s">
        <v>489</v>
      </c>
      <c r="C5" s="206" t="s">
        <v>432</v>
      </c>
      <c r="D5" s="206" t="s">
        <v>391</v>
      </c>
      <c r="E5" s="207"/>
      <c r="F5" s="208">
        <v>4500</v>
      </c>
      <c r="G5" s="207">
        <v>5</v>
      </c>
      <c r="H5" s="207">
        <f>500*180</f>
        <v>90000</v>
      </c>
      <c r="I5" s="214">
        <v>2600</v>
      </c>
      <c r="J5" s="210">
        <v>1.1000000000000001</v>
      </c>
      <c r="K5" s="206" t="s">
        <v>485</v>
      </c>
      <c r="L5" s="208">
        <v>7</v>
      </c>
      <c r="M5" s="211"/>
      <c r="N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9321.7473203966692</v>
      </c>
      <c r="O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3.3915581083918133E-4</v>
      </c>
      <c r="P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5"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4198.3669666239039</v>
      </c>
      <c r="R5" s="184">
        <f>IF(Operations[[#This Row],[Calc List Price]]=0,0,IF(Operations[[#This Row],[Units per Hour]]*Operations[[#This Row],[Annual Use]]=0,0,(Operations[[#This Row],[Calc Beg Yr. Value]]-Operations[[#This Row],[Calc End Yr. Value]])/(Operations[[#This Row],[Annual Use]])))</f>
        <v>3.3514781486232905E-3</v>
      </c>
      <c r="S5" s="185">
        <f>IF(Operations[[#This Row],[Annual Use]]=0,0,Operations[[#This Row],[Calc Beg Yr. Value]]*'General Variables'!$B$7/Operations[[#This Row],[Annual Use]])</f>
        <v>1E-3</v>
      </c>
      <c r="T5" s="185">
        <f>IF(Operations[[#This Row],[Annual Use]]=0,0,Operations[[#This Row],[Calc Beg Yr. Value]]*'General Variables'!$B$8/Operations[[#This Row],[Annual Use]])</f>
        <v>2E-3</v>
      </c>
      <c r="U5" s="185">
        <f>SUM(Operations[[#This Row],[Depreciation per Unit]:[Opportunity Cost per Unit]])</f>
        <v>6.3514781486232906E-3</v>
      </c>
      <c r="W5" s="15" t="s">
        <v>148</v>
      </c>
      <c r="X5" s="15" t="s">
        <v>149</v>
      </c>
      <c r="Y5" s="16" t="s">
        <v>150</v>
      </c>
      <c r="Z5" s="16" t="s">
        <v>151</v>
      </c>
      <c r="AA5" s="17">
        <v>2000</v>
      </c>
      <c r="AD5" s="15" t="s">
        <v>246</v>
      </c>
      <c r="AE5" s="15" t="s">
        <v>257</v>
      </c>
      <c r="AF5" s="15" t="s">
        <v>258</v>
      </c>
      <c r="AG5" s="15" t="s">
        <v>259</v>
      </c>
      <c r="AH5" s="15"/>
      <c r="AK5" s="163" t="s">
        <v>218</v>
      </c>
      <c r="AL5" s="189">
        <v>10</v>
      </c>
      <c r="AM5" s="189">
        <v>3</v>
      </c>
      <c r="AO5" s="187" t="str">
        <f>IF(PowerUnits[[#This Row],[Name]]=0,"",PowerUnits[[#This Row],[Name]])</f>
        <v>Windrower</v>
      </c>
    </row>
    <row r="6" spans="1:41" ht="12.75" customHeight="1">
      <c r="A6" s="204" t="s">
        <v>311</v>
      </c>
      <c r="B6" s="205" t="s">
        <v>83</v>
      </c>
      <c r="C6" s="206" t="s">
        <v>367</v>
      </c>
      <c r="D6" s="206" t="s">
        <v>390</v>
      </c>
      <c r="E6" s="213">
        <v>40000</v>
      </c>
      <c r="F6" s="208"/>
      <c r="G6" s="207">
        <v>5</v>
      </c>
      <c r="H6" s="207">
        <v>500</v>
      </c>
      <c r="I6" s="212">
        <v>11.092436974789917</v>
      </c>
      <c r="J6" s="210">
        <v>1.1000000000000001</v>
      </c>
      <c r="K6" s="206" t="s">
        <v>289</v>
      </c>
      <c r="L6" s="208">
        <v>8.2638655462184882</v>
      </c>
      <c r="M6" s="211"/>
      <c r="N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0.80890503429735894</v>
      </c>
      <c r="P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6"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6" s="184">
        <f>IF(Operations[[#This Row],[Calc List Price]]=0,0,IF(Operations[[#This Row],[Units per Hour]]*Operations[[#This Row],[Annual Use]]=0,0,(Operations[[#This Row],[Calc Beg Yr. Value]]-Operations[[#This Row],[Calc End Yr. Value]])/(Operations[[#This Row],[Annual Use]])))</f>
        <v>2.3787947544679735</v>
      </c>
      <c r="S6" s="185">
        <f>IF(Operations[[#This Row],[Annual Use]]=0,0,Operations[[#This Row],[Calc Beg Yr. Value]]*'General Variables'!$B$7/Operations[[#This Row],[Annual Use]])</f>
        <v>0.6657071280807858</v>
      </c>
      <c r="T6" s="185">
        <f>IF(Operations[[#This Row],[Annual Use]]=0,0,Operations[[#This Row],[Calc Beg Yr. Value]]*'General Variables'!$B$8/Operations[[#This Row],[Annual Use]])</f>
        <v>1.3314142561615716</v>
      </c>
      <c r="U6" s="185">
        <f>SUM(Operations[[#This Row],[Depreciation per Unit]:[Opportunity Cost per Unit]])</f>
        <v>4.3759161387103305</v>
      </c>
      <c r="W6" s="15" t="s">
        <v>152</v>
      </c>
      <c r="X6" s="15" t="s">
        <v>149</v>
      </c>
      <c r="Y6" s="16" t="s">
        <v>153</v>
      </c>
      <c r="Z6" s="16" t="s">
        <v>154</v>
      </c>
      <c r="AA6" s="18">
        <v>1200</v>
      </c>
      <c r="AD6" s="15" t="s">
        <v>260</v>
      </c>
      <c r="AE6" s="15" t="s">
        <v>261</v>
      </c>
      <c r="AF6" s="15" t="s">
        <v>262</v>
      </c>
      <c r="AG6" s="15" t="s">
        <v>263</v>
      </c>
      <c r="AH6" s="15"/>
      <c r="AK6" s="163" t="s">
        <v>219</v>
      </c>
      <c r="AL6" s="189">
        <v>15</v>
      </c>
      <c r="AM6" s="189">
        <v>2</v>
      </c>
      <c r="AO6" s="187" t="str">
        <f>IF(PowerUnits[[#This Row],[Name]]=0,"",PowerUnits[[#This Row],[Name]])</f>
        <v>Diesel Pump</v>
      </c>
    </row>
    <row r="7" spans="1:41" ht="12.75" customHeight="1">
      <c r="A7" s="204" t="s">
        <v>312</v>
      </c>
      <c r="B7" s="205" t="s">
        <v>3</v>
      </c>
      <c r="C7" s="205"/>
      <c r="D7" s="205"/>
      <c r="E7" s="207"/>
      <c r="F7" s="208"/>
      <c r="G7" s="207"/>
      <c r="H7" s="207"/>
      <c r="I7" s="212" t="s">
        <v>431</v>
      </c>
      <c r="J7" s="210"/>
      <c r="K7" s="206"/>
      <c r="L7" s="208" t="s">
        <v>431</v>
      </c>
      <c r="M7" s="211"/>
      <c r="N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9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 s="184">
        <f>IF(Operations[[#This Row],[Calc List Price]]=0,0,IF(Operations[[#This Row],[Units per Hour]]*Operations[[#This Row],[Annual Use]]=0,0,(Operations[[#This Row],[Calc Beg Yr. Value]]-Operations[[#This Row],[Calc End Yr. Value]])/(Operations[[#This Row],[Annual Use]])))</f>
        <v>0</v>
      </c>
      <c r="S7" s="185">
        <f>IF(Operations[[#This Row],[Annual Use]]=0,0,Operations[[#This Row],[Calc Beg Yr. Value]]*'General Variables'!$B$7/Operations[[#This Row],[Annual Use]])</f>
        <v>0</v>
      </c>
      <c r="T7" s="185">
        <f>IF(Operations[[#This Row],[Annual Use]]=0,0,Operations[[#This Row],[Calc Beg Yr. Value]]*'General Variables'!$B$8/Operations[[#This Row],[Annual Use]])</f>
        <v>0</v>
      </c>
      <c r="U7" s="185">
        <f>SUM(Operations[[#This Row],[Depreciation per Unit]:[Opportunity Cost per Unit]])</f>
        <v>0</v>
      </c>
      <c r="W7" s="15" t="s">
        <v>155</v>
      </c>
      <c r="X7" s="15" t="s">
        <v>156</v>
      </c>
      <c r="Y7" s="16" t="s">
        <v>153</v>
      </c>
      <c r="Z7" s="16" t="s">
        <v>154</v>
      </c>
      <c r="AA7" s="17">
        <v>2000</v>
      </c>
      <c r="AD7" s="15" t="s">
        <v>260</v>
      </c>
      <c r="AE7" s="15" t="s">
        <v>264</v>
      </c>
      <c r="AF7" s="15" t="s">
        <v>265</v>
      </c>
      <c r="AG7" s="15" t="s">
        <v>266</v>
      </c>
      <c r="AH7" s="15"/>
      <c r="AK7" s="163" t="s">
        <v>220</v>
      </c>
      <c r="AL7" s="189">
        <v>10</v>
      </c>
      <c r="AM7" s="189">
        <v>6</v>
      </c>
      <c r="AO7" s="187" t="str">
        <f>IF(PowerUnits[[#This Row],[Name]]=0,"",PowerUnits[[#This Row],[Name]])</f>
        <v>Electric Pump</v>
      </c>
    </row>
    <row r="8" spans="1:41" ht="12.75" customHeight="1">
      <c r="A8" s="204" t="s">
        <v>313</v>
      </c>
      <c r="B8" s="205" t="s">
        <v>83</v>
      </c>
      <c r="C8" s="206" t="s">
        <v>368</v>
      </c>
      <c r="D8" s="206" t="s">
        <v>363</v>
      </c>
      <c r="E8" s="213">
        <v>18000</v>
      </c>
      <c r="F8" s="208"/>
      <c r="G8" s="207">
        <v>5</v>
      </c>
      <c r="H8" s="207">
        <v>500</v>
      </c>
      <c r="I8" s="212">
        <v>12.336448598130842</v>
      </c>
      <c r="J8" s="210">
        <v>1.1000000000000001</v>
      </c>
      <c r="K8" s="206" t="s">
        <v>289</v>
      </c>
      <c r="L8" s="208">
        <v>5.736448598130842</v>
      </c>
      <c r="M8" s="211"/>
      <c r="N8"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8"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0.31367621934031403</v>
      </c>
      <c r="P8"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6213.1892728171579</v>
      </c>
      <c r="Q8"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5809.2040376900677</v>
      </c>
      <c r="R8" s="184">
        <f>IF(Operations[[#This Row],[Calc List Price]]=0,0,IF(Operations[[#This Row],[Units per Hour]]*Operations[[#This Row],[Annual Use]]=0,0,(Operations[[#This Row],[Calc Beg Yr. Value]]-Operations[[#This Row],[Calc End Yr. Value]])/(Operations[[#This Row],[Annual Use]])))</f>
        <v>0.80797047025418034</v>
      </c>
      <c r="S8" s="185">
        <f>IF(Operations[[#This Row],[Annual Use]]=0,0,Operations[[#This Row],[Calc Beg Yr. Value]]*'General Variables'!$B$7/Operations[[#This Row],[Annual Use]])</f>
        <v>0.24852757091268632</v>
      </c>
      <c r="T8" s="185">
        <f>IF(Operations[[#This Row],[Annual Use]]=0,0,Operations[[#This Row],[Calc Beg Yr. Value]]*'General Variables'!$B$8/Operations[[#This Row],[Annual Use]])</f>
        <v>0.49705514182537264</v>
      </c>
      <c r="U8" s="185">
        <f>SUM(Operations[[#This Row],[Depreciation per Unit]:[Opportunity Cost per Unit]])</f>
        <v>1.5535531829922393</v>
      </c>
      <c r="W8" s="15" t="s">
        <v>157</v>
      </c>
      <c r="X8" s="15" t="s">
        <v>141</v>
      </c>
      <c r="Y8" s="16" t="s">
        <v>158</v>
      </c>
      <c r="Z8" s="16" t="s">
        <v>159</v>
      </c>
      <c r="AA8" s="18">
        <v>2000</v>
      </c>
      <c r="AD8" s="15" t="s">
        <v>267</v>
      </c>
      <c r="AE8" s="15" t="s">
        <v>268</v>
      </c>
      <c r="AF8" s="15" t="s">
        <v>269</v>
      </c>
      <c r="AG8" s="15" t="s">
        <v>270</v>
      </c>
      <c r="AH8" s="15">
        <v>0</v>
      </c>
      <c r="AK8" s="163" t="s">
        <v>221</v>
      </c>
      <c r="AL8" s="189">
        <v>15</v>
      </c>
      <c r="AM8" s="189">
        <v>6</v>
      </c>
      <c r="AO8" s="187" t="str">
        <f>IF(PowerUnits[[#This Row],[Name]]=0,"",PowerUnits[[#This Row],[Name]])</f>
        <v>Diesel Pump for Pipe</v>
      </c>
    </row>
    <row r="9" spans="1:41" ht="12.75" customHeight="1">
      <c r="A9" s="204" t="s">
        <v>290</v>
      </c>
      <c r="B9" s="205" t="s">
        <v>83</v>
      </c>
      <c r="C9" s="206" t="s">
        <v>369</v>
      </c>
      <c r="D9" s="206" t="s">
        <v>295</v>
      </c>
      <c r="E9" s="207"/>
      <c r="F9" s="208">
        <v>40000</v>
      </c>
      <c r="G9" s="207">
        <v>5</v>
      </c>
      <c r="H9" s="213">
        <v>1000</v>
      </c>
      <c r="I9" s="212">
        <v>5.6410256410256423</v>
      </c>
      <c r="J9" s="210">
        <v>1.1000000000000001</v>
      </c>
      <c r="K9" s="206" t="s">
        <v>290</v>
      </c>
      <c r="L9" s="208">
        <v>8.7153846153846164</v>
      </c>
      <c r="M9" s="211"/>
      <c r="N9"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68699.785721006308</v>
      </c>
      <c r="O9"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3.2542112496625801</v>
      </c>
      <c r="P9"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40000</v>
      </c>
      <c r="Q9"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36393.20391010867</v>
      </c>
      <c r="R9" s="184">
        <f>IF(Operations[[#This Row],[Calc List Price]]=0,0,IF(Operations[[#This Row],[Units per Hour]]*Operations[[#This Row],[Annual Use]]=0,0,(Operations[[#This Row],[Calc Beg Yr. Value]]-Operations[[#This Row],[Calc End Yr. Value]])/(Operations[[#This Row],[Annual Use]])))</f>
        <v>3.6067960898913296</v>
      </c>
      <c r="S9" s="185">
        <f>IF(Operations[[#This Row],[Annual Use]]=0,0,Operations[[#This Row],[Calc Beg Yr. Value]]*'General Variables'!$B$7/Operations[[#This Row],[Annual Use]])</f>
        <v>0.8</v>
      </c>
      <c r="T9" s="185">
        <f>IF(Operations[[#This Row],[Annual Use]]=0,0,Operations[[#This Row],[Calc Beg Yr. Value]]*'General Variables'!$B$8/Operations[[#This Row],[Annual Use]])</f>
        <v>1.6</v>
      </c>
      <c r="U9" s="185">
        <f>SUM(Operations[[#This Row],[Depreciation per Unit]:[Opportunity Cost per Unit]])</f>
        <v>6.0067960898913295</v>
      </c>
      <c r="W9" s="15" t="s">
        <v>163</v>
      </c>
      <c r="X9" s="15" t="s">
        <v>141</v>
      </c>
      <c r="Y9" s="16" t="s">
        <v>164</v>
      </c>
      <c r="Z9" s="16" t="s">
        <v>159</v>
      </c>
      <c r="AA9" s="18">
        <v>2000</v>
      </c>
      <c r="AD9" s="15" t="s">
        <v>267</v>
      </c>
      <c r="AE9" s="15" t="s">
        <v>272</v>
      </c>
      <c r="AF9" s="15" t="s">
        <v>273</v>
      </c>
      <c r="AG9" s="15" t="s">
        <v>274</v>
      </c>
      <c r="AH9" s="15"/>
      <c r="AK9" s="163" t="s">
        <v>222</v>
      </c>
      <c r="AL9" s="189">
        <v>15</v>
      </c>
      <c r="AM9" s="189">
        <v>6</v>
      </c>
      <c r="AO9" s="187" t="str">
        <f>IF(PowerUnits[[#This Row],[Name]]=0,"",PowerUnits[[#This Row],[Name]])</f>
        <v>none</v>
      </c>
    </row>
    <row r="10" spans="1:41" ht="12.75" customHeight="1">
      <c r="A10" s="204" t="s">
        <v>314</v>
      </c>
      <c r="B10" s="205" t="s">
        <v>83</v>
      </c>
      <c r="C10" s="206" t="s">
        <v>369</v>
      </c>
      <c r="D10" s="206" t="s">
        <v>295</v>
      </c>
      <c r="E10" s="207"/>
      <c r="F10" s="208">
        <v>15000</v>
      </c>
      <c r="G10" s="207">
        <v>5</v>
      </c>
      <c r="H10" s="213">
        <v>1000</v>
      </c>
      <c r="I10" s="215">
        <v>7</v>
      </c>
      <c r="J10" s="210">
        <v>1.1000000000000001</v>
      </c>
      <c r="K10" s="206" t="s">
        <v>290</v>
      </c>
      <c r="L10" s="208">
        <v>10.468032786885246</v>
      </c>
      <c r="M10" s="211"/>
      <c r="N1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25762.419645377369</v>
      </c>
      <c r="O1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0.74280546023974292</v>
      </c>
      <c r="P1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15000</v>
      </c>
      <c r="Q10"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13647.451466290753</v>
      </c>
      <c r="R10" s="184">
        <f>IF(Operations[[#This Row],[Calc List Price]]=0,0,IF(Operations[[#This Row],[Units per Hour]]*Operations[[#This Row],[Annual Use]]=0,0,(Operations[[#This Row],[Calc Beg Yr. Value]]-Operations[[#This Row],[Calc End Yr. Value]])/(Operations[[#This Row],[Annual Use]])))</f>
        <v>1.3525485337092469</v>
      </c>
      <c r="S10" s="185">
        <f>IF(Operations[[#This Row],[Annual Use]]=0,0,Operations[[#This Row],[Calc Beg Yr. Value]]*'General Variables'!$B$7/Operations[[#This Row],[Annual Use]])</f>
        <v>0.3</v>
      </c>
      <c r="T10" s="185">
        <f>IF(Operations[[#This Row],[Annual Use]]=0,0,Operations[[#This Row],[Calc Beg Yr. Value]]*'General Variables'!$B$8/Operations[[#This Row],[Annual Use]])</f>
        <v>0.6</v>
      </c>
      <c r="U10" s="185">
        <f>SUM(Operations[[#This Row],[Depreciation per Unit]:[Opportunity Cost per Unit]])</f>
        <v>2.252548533709247</v>
      </c>
      <c r="W10" s="15" t="s">
        <v>167</v>
      </c>
      <c r="X10" s="15" t="s">
        <v>156</v>
      </c>
      <c r="Y10" s="16" t="s">
        <v>168</v>
      </c>
      <c r="Z10" s="16" t="s">
        <v>154</v>
      </c>
      <c r="AA10" s="18">
        <v>2000</v>
      </c>
      <c r="AD10" s="15" t="s">
        <v>275</v>
      </c>
      <c r="AE10" s="15" t="s">
        <v>276</v>
      </c>
      <c r="AF10" s="15" t="s">
        <v>277</v>
      </c>
      <c r="AG10" s="15" t="s">
        <v>278</v>
      </c>
      <c r="AH10" s="15"/>
      <c r="AK10" s="163" t="s">
        <v>223</v>
      </c>
      <c r="AL10" s="189">
        <v>15</v>
      </c>
      <c r="AM10" s="189">
        <v>6</v>
      </c>
      <c r="AO10" s="187" t="str">
        <f>IF(PowerUnits[[#This Row],[Name]]=0,"",PowerUnits[[#This Row],[Name]])</f>
        <v/>
      </c>
    </row>
    <row r="11" spans="1:41" ht="12.75" customHeight="1">
      <c r="A11" s="204" t="s">
        <v>303</v>
      </c>
      <c r="B11" s="205" t="s">
        <v>83</v>
      </c>
      <c r="C11" s="206" t="s">
        <v>369</v>
      </c>
      <c r="D11" s="206" t="s">
        <v>295</v>
      </c>
      <c r="E11" s="213">
        <v>40000</v>
      </c>
      <c r="F11" s="208"/>
      <c r="G11" s="207">
        <v>5</v>
      </c>
      <c r="H11" s="213">
        <v>1000</v>
      </c>
      <c r="I11" s="212">
        <v>4</v>
      </c>
      <c r="J11" s="210">
        <v>1.1000000000000001</v>
      </c>
      <c r="K11" s="206" t="s">
        <v>290</v>
      </c>
      <c r="L11" s="208">
        <v>10.5</v>
      </c>
      <c r="M11" s="211"/>
      <c r="N1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4.1776874030001281</v>
      </c>
      <c r="P1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1"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1" s="184">
        <f>IF(Operations[[#This Row],[Calc List Price]]=0,0,IF(Operations[[#This Row],[Units per Hour]]*Operations[[#This Row],[Annual Use]]=0,0,(Operations[[#This Row],[Calc Beg Yr. Value]]-Operations[[#This Row],[Calc End Yr. Value]])/(Operations[[#This Row],[Annual Use]])))</f>
        <v>2.1000333855705029</v>
      </c>
      <c r="S11" s="185">
        <f>IF(Operations[[#This Row],[Annual Use]]=0,0,Operations[[#This Row],[Calc Beg Yr. Value]]*'General Variables'!$B$7/Operations[[#This Row],[Annual Use]])</f>
        <v>0.46579475706014273</v>
      </c>
      <c r="T11" s="185">
        <f>IF(Operations[[#This Row],[Annual Use]]=0,0,Operations[[#This Row],[Calc Beg Yr. Value]]*'General Variables'!$B$8/Operations[[#This Row],[Annual Use]])</f>
        <v>0.93158951412028546</v>
      </c>
      <c r="U11" s="185">
        <f>SUM(Operations[[#This Row],[Depreciation per Unit]:[Opportunity Cost per Unit]])</f>
        <v>3.4974176567509314</v>
      </c>
      <c r="W11" s="15" t="s">
        <v>169</v>
      </c>
      <c r="X11" s="15" t="s">
        <v>156</v>
      </c>
      <c r="Y11" s="16" t="s">
        <v>170</v>
      </c>
      <c r="Z11" s="16" t="s">
        <v>171</v>
      </c>
      <c r="AA11" s="17">
        <v>2000</v>
      </c>
      <c r="AD11" s="15" t="s">
        <v>222</v>
      </c>
      <c r="AE11" s="15" t="s">
        <v>417</v>
      </c>
      <c r="AF11" s="15" t="s">
        <v>265</v>
      </c>
      <c r="AG11" s="15" t="s">
        <v>266</v>
      </c>
      <c r="AH11" s="15"/>
      <c r="AK11" s="163" t="s">
        <v>224</v>
      </c>
      <c r="AL11" s="189">
        <v>15</v>
      </c>
      <c r="AM11" s="189">
        <v>6</v>
      </c>
      <c r="AO11" s="187" t="str">
        <f>IF(PowerUnits[[#This Row],[Name]]=0,"",PowerUnits[[#This Row],[Name]])</f>
        <v/>
      </c>
    </row>
    <row r="12" spans="1:41" ht="12.75" customHeight="1">
      <c r="A12" s="204" t="s">
        <v>306</v>
      </c>
      <c r="B12" s="205" t="s">
        <v>83</v>
      </c>
      <c r="C12" s="206" t="s">
        <v>369</v>
      </c>
      <c r="D12" s="206" t="s">
        <v>295</v>
      </c>
      <c r="E12" s="213">
        <v>10000</v>
      </c>
      <c r="F12" s="208"/>
      <c r="G12" s="207">
        <v>5</v>
      </c>
      <c r="H12" s="207">
        <v>300</v>
      </c>
      <c r="I12" s="212">
        <v>4.75</v>
      </c>
      <c r="J12" s="210">
        <v>1.1000000000000001</v>
      </c>
      <c r="K12" s="206" t="s">
        <v>290</v>
      </c>
      <c r="L12" s="208">
        <v>8</v>
      </c>
      <c r="M12" s="211"/>
      <c r="N1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1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0.14705380230222209</v>
      </c>
      <c r="P1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5822.4344632517841</v>
      </c>
      <c r="Q12"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5297.4261168591584</v>
      </c>
      <c r="R12" s="184">
        <f>IF(Operations[[#This Row],[Calc List Price]]=0,0,IF(Operations[[#This Row],[Units per Hour]]*Operations[[#This Row],[Annual Use]]=0,0,(Operations[[#This Row],[Calc Beg Yr. Value]]-Operations[[#This Row],[Calc End Yr. Value]])/(Operations[[#This Row],[Annual Use]])))</f>
        <v>1.7500278213087526</v>
      </c>
      <c r="S12" s="185">
        <f>IF(Operations[[#This Row],[Annual Use]]=0,0,Operations[[#This Row],[Calc Beg Yr. Value]]*'General Variables'!$B$7/Operations[[#This Row],[Annual Use]])</f>
        <v>0.38816229755011894</v>
      </c>
      <c r="T12" s="185">
        <f>IF(Operations[[#This Row],[Annual Use]]=0,0,Operations[[#This Row],[Calc Beg Yr. Value]]*'General Variables'!$B$8/Operations[[#This Row],[Annual Use]])</f>
        <v>0.77632459510023788</v>
      </c>
      <c r="U12" s="185">
        <f>SUM(Operations[[#This Row],[Depreciation per Unit]:[Opportunity Cost per Unit]])</f>
        <v>2.9145147139591092</v>
      </c>
      <c r="W12" s="15" t="s">
        <v>172</v>
      </c>
      <c r="X12" s="15" t="s">
        <v>156</v>
      </c>
      <c r="Y12" s="16" t="s">
        <v>173</v>
      </c>
      <c r="Z12" s="16" t="s">
        <v>174</v>
      </c>
      <c r="AA12" s="17">
        <v>2000</v>
      </c>
      <c r="AK12" s="163" t="s">
        <v>225</v>
      </c>
      <c r="AL12" s="189">
        <v>15</v>
      </c>
      <c r="AM12" s="189">
        <v>6</v>
      </c>
    </row>
    <row r="13" spans="1:41" ht="12.75" customHeight="1">
      <c r="A13" s="204" t="s">
        <v>305</v>
      </c>
      <c r="B13" s="205" t="s">
        <v>83</v>
      </c>
      <c r="C13" s="206" t="s">
        <v>369</v>
      </c>
      <c r="D13" s="206" t="s">
        <v>295</v>
      </c>
      <c r="E13" s="207">
        <v>28812</v>
      </c>
      <c r="F13" s="208"/>
      <c r="G13" s="207">
        <v>5</v>
      </c>
      <c r="H13" s="213">
        <v>1000</v>
      </c>
      <c r="I13" s="212">
        <v>6</v>
      </c>
      <c r="J13" s="210">
        <v>1.1000000000000001</v>
      </c>
      <c r="K13" s="206" t="s">
        <v>290</v>
      </c>
      <c r="L13" s="208">
        <v>10.5</v>
      </c>
      <c r="M13" s="211"/>
      <c r="N1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1.1842392731212235</v>
      </c>
      <c r="P1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3"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3" s="184">
        <f>IF(Operations[[#This Row],[Calc List Price]]=0,0,IF(Operations[[#This Row],[Units per Hour]]*Operations[[#This Row],[Annual Use]]=0,0,(Operations[[#This Row],[Calc Beg Yr. Value]]-Operations[[#This Row],[Calc End Yr. Value]])/(Operations[[#This Row],[Annual Use]])))</f>
        <v>1.5126540476264345</v>
      </c>
      <c r="S13" s="185">
        <f>IF(Operations[[#This Row],[Annual Use]]=0,0,Operations[[#This Row],[Calc Beg Yr. Value]]*'General Variables'!$B$7/Operations[[#This Row],[Annual Use]])</f>
        <v>0.33551196351042084</v>
      </c>
      <c r="T13" s="185">
        <f>IF(Operations[[#This Row],[Annual Use]]=0,0,Operations[[#This Row],[Calc Beg Yr. Value]]*'General Variables'!$B$8/Operations[[#This Row],[Annual Use]])</f>
        <v>0.67102392702084168</v>
      </c>
      <c r="U13" s="185">
        <f>SUM(Operations[[#This Row],[Depreciation per Unit]:[Opportunity Cost per Unit]])</f>
        <v>2.5191899381576972</v>
      </c>
      <c r="W13" s="15" t="s">
        <v>175</v>
      </c>
      <c r="X13" s="15" t="s">
        <v>156</v>
      </c>
      <c r="Y13" s="16" t="s">
        <v>173</v>
      </c>
      <c r="Z13" s="16" t="s">
        <v>174</v>
      </c>
      <c r="AA13" s="18">
        <v>2000</v>
      </c>
      <c r="AK13" s="163" t="s">
        <v>226</v>
      </c>
      <c r="AL13" s="189">
        <v>15</v>
      </c>
      <c r="AM13" s="189">
        <v>2</v>
      </c>
    </row>
    <row r="14" spans="1:41" ht="12.75" customHeight="1">
      <c r="A14" s="204" t="s">
        <v>301</v>
      </c>
      <c r="B14" s="205" t="s">
        <v>83</v>
      </c>
      <c r="C14" s="206" t="s">
        <v>369</v>
      </c>
      <c r="D14" s="206" t="s">
        <v>295</v>
      </c>
      <c r="E14" s="207">
        <v>28812</v>
      </c>
      <c r="F14" s="208"/>
      <c r="G14" s="207">
        <v>5</v>
      </c>
      <c r="H14" s="213">
        <v>1000</v>
      </c>
      <c r="I14" s="212">
        <v>7.33</v>
      </c>
      <c r="J14" s="210">
        <v>1.1000000000000001</v>
      </c>
      <c r="K14" s="206" t="s">
        <v>290</v>
      </c>
      <c r="L14" s="208">
        <v>10.5</v>
      </c>
      <c r="M14" s="211"/>
      <c r="N1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0.74721949436963453</v>
      </c>
      <c r="P1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4"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4" s="184">
        <f>IF(Operations[[#This Row],[Calc List Price]]=0,0,IF(Operations[[#This Row],[Units per Hour]]*Operations[[#This Row],[Annual Use]]=0,0,(Operations[[#This Row],[Calc Beg Yr. Value]]-Operations[[#This Row],[Calc End Yr. Value]])/(Operations[[#This Row],[Annual Use]])))</f>
        <v>1.5126540476264345</v>
      </c>
      <c r="S14" s="185">
        <f>IF(Operations[[#This Row],[Annual Use]]=0,0,Operations[[#This Row],[Calc Beg Yr. Value]]*'General Variables'!$B$7/Operations[[#This Row],[Annual Use]])</f>
        <v>0.33551196351042084</v>
      </c>
      <c r="T14" s="185">
        <f>IF(Operations[[#This Row],[Annual Use]]=0,0,Operations[[#This Row],[Calc Beg Yr. Value]]*'General Variables'!$B$8/Operations[[#This Row],[Annual Use]])</f>
        <v>0.67102392702084168</v>
      </c>
      <c r="U14" s="185">
        <f>SUM(Operations[[#This Row],[Depreciation per Unit]:[Opportunity Cost per Unit]])</f>
        <v>2.5191899381576972</v>
      </c>
      <c r="W14" s="15" t="s">
        <v>176</v>
      </c>
      <c r="X14" s="15" t="s">
        <v>156</v>
      </c>
      <c r="Y14" s="16" t="s">
        <v>177</v>
      </c>
      <c r="Z14" s="16" t="s">
        <v>162</v>
      </c>
      <c r="AA14" s="18">
        <v>1500</v>
      </c>
      <c r="AK14" s="163" t="s">
        <v>227</v>
      </c>
      <c r="AL14" s="189">
        <v>20</v>
      </c>
      <c r="AM14" s="189">
        <v>1</v>
      </c>
    </row>
    <row r="15" spans="1:41" ht="12.75" customHeight="1">
      <c r="A15" s="204" t="s">
        <v>308</v>
      </c>
      <c r="B15" s="205" t="s">
        <v>83</v>
      </c>
      <c r="C15" s="206" t="s">
        <v>369</v>
      </c>
      <c r="D15" s="206" t="s">
        <v>295</v>
      </c>
      <c r="E15" s="216">
        <v>35000</v>
      </c>
      <c r="F15" s="208"/>
      <c r="G15" s="207">
        <v>5</v>
      </c>
      <c r="H15" s="207">
        <v>200</v>
      </c>
      <c r="I15" s="212">
        <v>7.33</v>
      </c>
      <c r="J15" s="210">
        <v>1.1000000000000001</v>
      </c>
      <c r="K15" s="206" t="s">
        <v>290</v>
      </c>
      <c r="L15" s="208">
        <v>10.5</v>
      </c>
      <c r="M15" s="211"/>
      <c r="N1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0.1120164555176356</v>
      </c>
      <c r="P1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5"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5" s="184">
        <f>IF(Operations[[#This Row],[Calc List Price]]=0,0,IF(Operations[[#This Row],[Units per Hour]]*Operations[[#This Row],[Annual Use]]=0,0,(Operations[[#This Row],[Calc Beg Yr. Value]]-Operations[[#This Row],[Calc End Yr. Value]])/(Operations[[#This Row],[Annual Use]])))</f>
        <v>9.1876460618709466</v>
      </c>
      <c r="S15" s="185">
        <f>IF(Operations[[#This Row],[Annual Use]]=0,0,Operations[[#This Row],[Calc Beg Yr. Value]]*'General Variables'!$B$7/Operations[[#This Row],[Annual Use]])</f>
        <v>2.0378520621381244</v>
      </c>
      <c r="T15" s="185">
        <f>IF(Operations[[#This Row],[Annual Use]]=0,0,Operations[[#This Row],[Calc Beg Yr. Value]]*'General Variables'!$B$8/Operations[[#This Row],[Annual Use]])</f>
        <v>4.0757041242762488</v>
      </c>
      <c r="U15" s="185">
        <f>SUM(Operations[[#This Row],[Depreciation per Unit]:[Opportunity Cost per Unit]])</f>
        <v>15.301202248285321</v>
      </c>
      <c r="W15" s="15" t="s">
        <v>178</v>
      </c>
      <c r="X15" s="15" t="s">
        <v>149</v>
      </c>
      <c r="Y15" s="16" t="s">
        <v>179</v>
      </c>
      <c r="Z15" s="16" t="s">
        <v>180</v>
      </c>
      <c r="AA15" s="18">
        <v>1200</v>
      </c>
      <c r="AK15" s="163" t="s">
        <v>228</v>
      </c>
      <c r="AL15" s="189">
        <v>15</v>
      </c>
      <c r="AM15" s="189">
        <v>3</v>
      </c>
    </row>
    <row r="16" spans="1:41" ht="12.75" customHeight="1">
      <c r="A16" s="204" t="s">
        <v>315</v>
      </c>
      <c r="B16" s="205" t="s">
        <v>83</v>
      </c>
      <c r="C16" s="206" t="s">
        <v>369</v>
      </c>
      <c r="D16" s="206" t="s">
        <v>295</v>
      </c>
      <c r="E16" s="207"/>
      <c r="F16" s="208">
        <v>10000</v>
      </c>
      <c r="G16" s="207">
        <v>8</v>
      </c>
      <c r="H16" s="213">
        <v>1000</v>
      </c>
      <c r="I16" s="212">
        <v>4.25</v>
      </c>
      <c r="J16" s="210">
        <v>1.1000000000000001</v>
      </c>
      <c r="K16" s="206" t="s">
        <v>290</v>
      </c>
      <c r="L16" s="208">
        <v>10.5</v>
      </c>
      <c r="M16" s="211"/>
      <c r="N1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22591.88759176448</v>
      </c>
      <c r="O1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3.6133443592333974</v>
      </c>
      <c r="P1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16"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9167.0876362226791</v>
      </c>
      <c r="R16" s="184">
        <f>IF(Operations[[#This Row],[Calc List Price]]=0,0,IF(Operations[[#This Row],[Units per Hour]]*Operations[[#This Row],[Annual Use]]=0,0,(Operations[[#This Row],[Calc Beg Yr. Value]]-Operations[[#This Row],[Calc End Yr. Value]])/(Operations[[#This Row],[Annual Use]])))</f>
        <v>0.83291236377732092</v>
      </c>
      <c r="S16" s="185">
        <f>IF(Operations[[#This Row],[Annual Use]]=0,0,Operations[[#This Row],[Calc Beg Yr. Value]]*'General Variables'!$B$7/Operations[[#This Row],[Annual Use]])</f>
        <v>0.2</v>
      </c>
      <c r="T16" s="185">
        <f>IF(Operations[[#This Row],[Annual Use]]=0,0,Operations[[#This Row],[Calc Beg Yr. Value]]*'General Variables'!$B$8/Operations[[#This Row],[Annual Use]])</f>
        <v>0.4</v>
      </c>
      <c r="U16" s="185">
        <f>SUM(Operations[[#This Row],[Depreciation per Unit]:[Opportunity Cost per Unit]])</f>
        <v>1.4329123637773211</v>
      </c>
      <c r="W16" s="15" t="s">
        <v>181</v>
      </c>
      <c r="X16" s="15" t="s">
        <v>149</v>
      </c>
      <c r="Y16" s="16" t="s">
        <v>182</v>
      </c>
      <c r="Z16" s="16" t="s">
        <v>143</v>
      </c>
      <c r="AA16" s="17">
        <v>1500</v>
      </c>
      <c r="AK16" s="259" t="s">
        <v>283</v>
      </c>
      <c r="AL16" s="259"/>
      <c r="AM16" s="259"/>
    </row>
    <row r="17" spans="1:39" ht="12.75" customHeight="1">
      <c r="A17" s="204" t="s">
        <v>316</v>
      </c>
      <c r="B17" s="205" t="s">
        <v>83</v>
      </c>
      <c r="C17" s="206" t="s">
        <v>369</v>
      </c>
      <c r="D17" s="206" t="s">
        <v>295</v>
      </c>
      <c r="E17" s="217">
        <v>40000</v>
      </c>
      <c r="F17" s="208">
        <v>40000</v>
      </c>
      <c r="G17" s="207">
        <v>5</v>
      </c>
      <c r="H17" s="213">
        <v>1000</v>
      </c>
      <c r="I17" s="212">
        <v>7.3333333333333339</v>
      </c>
      <c r="J17" s="210">
        <v>1.1000000000000001</v>
      </c>
      <c r="K17" s="206" t="s">
        <v>290</v>
      </c>
      <c r="L17" s="208">
        <v>10.5</v>
      </c>
      <c r="M17" s="211"/>
      <c r="N1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7"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1.0362884091998752</v>
      </c>
      <c r="P1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7"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7" s="184">
        <f>IF(Operations[[#This Row],[Calc List Price]]=0,0,IF(Operations[[#This Row],[Units per Hour]]*Operations[[#This Row],[Annual Use]]=0,0,(Operations[[#This Row],[Calc Beg Yr. Value]]-Operations[[#This Row],[Calc End Yr. Value]])/(Operations[[#This Row],[Annual Use]])))</f>
        <v>2.1000333855705029</v>
      </c>
      <c r="S17" s="185">
        <f>IF(Operations[[#This Row],[Annual Use]]=0,0,Operations[[#This Row],[Calc Beg Yr. Value]]*'General Variables'!$B$7/Operations[[#This Row],[Annual Use]])</f>
        <v>0.46579475706014273</v>
      </c>
      <c r="T17" s="185">
        <f>IF(Operations[[#This Row],[Annual Use]]=0,0,Operations[[#This Row],[Calc Beg Yr. Value]]*'General Variables'!$B$8/Operations[[#This Row],[Annual Use]])</f>
        <v>0.93158951412028546</v>
      </c>
      <c r="U17" s="185">
        <f>SUM(Operations[[#This Row],[Depreciation per Unit]:[Opportunity Cost per Unit]])</f>
        <v>3.4974176567509314</v>
      </c>
      <c r="W17" s="15" t="s">
        <v>183</v>
      </c>
      <c r="X17" s="15" t="s">
        <v>141</v>
      </c>
      <c r="Y17" s="16" t="s">
        <v>184</v>
      </c>
      <c r="Z17" s="16" t="s">
        <v>151</v>
      </c>
      <c r="AA17" s="18">
        <v>2500</v>
      </c>
      <c r="AK17" s="259"/>
      <c r="AL17" s="259"/>
      <c r="AM17" s="259"/>
    </row>
    <row r="18" spans="1:39" ht="12.75" customHeight="1">
      <c r="A18" s="204" t="s">
        <v>302</v>
      </c>
      <c r="B18" s="205" t="s">
        <v>83</v>
      </c>
      <c r="C18" s="206" t="s">
        <v>369</v>
      </c>
      <c r="D18" s="206" t="s">
        <v>295</v>
      </c>
      <c r="E18" s="213">
        <v>40000</v>
      </c>
      <c r="F18" s="208"/>
      <c r="G18" s="207">
        <v>5</v>
      </c>
      <c r="H18" s="213">
        <v>1000</v>
      </c>
      <c r="I18" s="214">
        <v>5.5</v>
      </c>
      <c r="J18" s="210">
        <v>1.1000000000000001</v>
      </c>
      <c r="K18" s="206" t="s">
        <v>290</v>
      </c>
      <c r="L18" s="208">
        <v>10.5</v>
      </c>
      <c r="M18" s="211"/>
      <c r="N18"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8"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2.0083515455525474</v>
      </c>
      <c r="P18"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8"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8" s="184">
        <f>IF(Operations[[#This Row],[Calc List Price]]=0,0,IF(Operations[[#This Row],[Units per Hour]]*Operations[[#This Row],[Annual Use]]=0,0,(Operations[[#This Row],[Calc Beg Yr. Value]]-Operations[[#This Row],[Calc End Yr. Value]])/(Operations[[#This Row],[Annual Use]])))</f>
        <v>2.1000333855705029</v>
      </c>
      <c r="S18" s="185">
        <f>IF(Operations[[#This Row],[Annual Use]]=0,0,Operations[[#This Row],[Calc Beg Yr. Value]]*'General Variables'!$B$7/Operations[[#This Row],[Annual Use]])</f>
        <v>0.46579475706014273</v>
      </c>
      <c r="T18" s="185">
        <f>IF(Operations[[#This Row],[Annual Use]]=0,0,Operations[[#This Row],[Calc Beg Yr. Value]]*'General Variables'!$B$8/Operations[[#This Row],[Annual Use]])</f>
        <v>0.93158951412028546</v>
      </c>
      <c r="U18" s="185">
        <f>SUM(Operations[[#This Row],[Depreciation per Unit]:[Opportunity Cost per Unit]])</f>
        <v>3.4974176567509314</v>
      </c>
      <c r="W18" s="15" t="s">
        <v>187</v>
      </c>
      <c r="X18" s="15" t="s">
        <v>156</v>
      </c>
      <c r="Y18" s="16" t="s">
        <v>168</v>
      </c>
      <c r="Z18" s="16" t="s">
        <v>154</v>
      </c>
      <c r="AA18" s="18">
        <v>2000</v>
      </c>
      <c r="AK18" s="259"/>
      <c r="AL18" s="259"/>
      <c r="AM18" s="259"/>
    </row>
    <row r="19" spans="1:39" ht="12.75" customHeight="1">
      <c r="A19" s="204" t="s">
        <v>304</v>
      </c>
      <c r="B19" s="205" t="s">
        <v>83</v>
      </c>
      <c r="C19" s="206" t="s">
        <v>369</v>
      </c>
      <c r="D19" s="206" t="s">
        <v>295</v>
      </c>
      <c r="E19" s="207">
        <v>28812</v>
      </c>
      <c r="F19" s="208"/>
      <c r="G19" s="207">
        <v>5</v>
      </c>
      <c r="H19" s="213">
        <v>1000</v>
      </c>
      <c r="I19" s="212">
        <v>5.64</v>
      </c>
      <c r="J19" s="210">
        <v>1.1000000000000001</v>
      </c>
      <c r="K19" s="206" t="s">
        <v>290</v>
      </c>
      <c r="L19" s="208">
        <v>10.5</v>
      </c>
      <c r="M19" s="211"/>
      <c r="N19"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9"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1.3653544064765377</v>
      </c>
      <c r="P19"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9"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9" s="184">
        <f>IF(Operations[[#This Row],[Calc List Price]]=0,0,IF(Operations[[#This Row],[Units per Hour]]*Operations[[#This Row],[Annual Use]]=0,0,(Operations[[#This Row],[Calc Beg Yr. Value]]-Operations[[#This Row],[Calc End Yr. Value]])/(Operations[[#This Row],[Annual Use]])))</f>
        <v>1.5126540476264345</v>
      </c>
      <c r="S19" s="185">
        <f>IF(Operations[[#This Row],[Annual Use]]=0,0,Operations[[#This Row],[Calc Beg Yr. Value]]*'General Variables'!$B$7/Operations[[#This Row],[Annual Use]])</f>
        <v>0.33551196351042084</v>
      </c>
      <c r="T19" s="185">
        <f>IF(Operations[[#This Row],[Annual Use]]=0,0,Operations[[#This Row],[Calc Beg Yr. Value]]*'General Variables'!$B$8/Operations[[#This Row],[Annual Use]])</f>
        <v>0.67102392702084168</v>
      </c>
      <c r="U19" s="185">
        <f>SUM(Operations[[#This Row],[Depreciation per Unit]:[Opportunity Cost per Unit]])</f>
        <v>2.5191899381576972</v>
      </c>
      <c r="W19" s="15" t="s">
        <v>188</v>
      </c>
      <c r="X19" s="15" t="s">
        <v>141</v>
      </c>
      <c r="Y19" s="16" t="s">
        <v>189</v>
      </c>
      <c r="Z19" s="16" t="s">
        <v>174</v>
      </c>
      <c r="AA19" s="18">
        <v>2000</v>
      </c>
      <c r="AK19" s="259"/>
      <c r="AL19" s="259"/>
      <c r="AM19" s="259"/>
    </row>
    <row r="20" spans="1:39" ht="12.75" customHeight="1">
      <c r="A20" s="204" t="s">
        <v>300</v>
      </c>
      <c r="B20" s="205" t="s">
        <v>83</v>
      </c>
      <c r="C20" s="206" t="s">
        <v>369</v>
      </c>
      <c r="D20" s="206" t="s">
        <v>295</v>
      </c>
      <c r="E20" s="207">
        <v>28812</v>
      </c>
      <c r="F20" s="208"/>
      <c r="G20" s="207">
        <v>5</v>
      </c>
      <c r="H20" s="213">
        <v>1000</v>
      </c>
      <c r="I20" s="212">
        <v>7</v>
      </c>
      <c r="J20" s="210">
        <v>1.1000000000000001</v>
      </c>
      <c r="K20" s="206" t="s">
        <v>290</v>
      </c>
      <c r="L20" s="208">
        <v>10.5</v>
      </c>
      <c r="M20" s="211"/>
      <c r="N2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2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0.8307337282376599</v>
      </c>
      <c r="P2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20"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20" s="184">
        <f>IF(Operations[[#This Row],[Calc List Price]]=0,0,IF(Operations[[#This Row],[Units per Hour]]*Operations[[#This Row],[Annual Use]]=0,0,(Operations[[#This Row],[Calc Beg Yr. Value]]-Operations[[#This Row],[Calc End Yr. Value]])/(Operations[[#This Row],[Annual Use]])))</f>
        <v>1.5126540476264345</v>
      </c>
      <c r="S20" s="185">
        <f>IF(Operations[[#This Row],[Annual Use]]=0,0,Operations[[#This Row],[Calc Beg Yr. Value]]*'General Variables'!$B$7/Operations[[#This Row],[Annual Use]])</f>
        <v>0.33551196351042084</v>
      </c>
      <c r="T20" s="185">
        <f>IF(Operations[[#This Row],[Annual Use]]=0,0,Operations[[#This Row],[Calc Beg Yr. Value]]*'General Variables'!$B$8/Operations[[#This Row],[Annual Use]])</f>
        <v>0.67102392702084168</v>
      </c>
      <c r="U20" s="185">
        <f>SUM(Operations[[#This Row],[Depreciation per Unit]:[Opportunity Cost per Unit]])</f>
        <v>2.5191899381576972</v>
      </c>
      <c r="W20" s="15" t="s">
        <v>190</v>
      </c>
      <c r="X20" s="15" t="s">
        <v>141</v>
      </c>
      <c r="Y20" s="16" t="s">
        <v>191</v>
      </c>
      <c r="Z20" s="16" t="s">
        <v>137</v>
      </c>
      <c r="AA20" s="18">
        <v>2000</v>
      </c>
      <c r="AK20" s="188"/>
      <c r="AL20" s="188"/>
      <c r="AM20" s="188"/>
    </row>
    <row r="21" spans="1:39" ht="12.75" customHeight="1">
      <c r="A21" s="204" t="s">
        <v>307</v>
      </c>
      <c r="B21" s="205" t="s">
        <v>83</v>
      </c>
      <c r="C21" s="206" t="s">
        <v>369</v>
      </c>
      <c r="D21" s="206" t="s">
        <v>295</v>
      </c>
      <c r="E21" s="217">
        <v>30000</v>
      </c>
      <c r="F21" s="208"/>
      <c r="G21" s="207">
        <v>5</v>
      </c>
      <c r="H21" s="207">
        <v>300</v>
      </c>
      <c r="I21" s="212">
        <v>7</v>
      </c>
      <c r="J21" s="210">
        <v>1.1000000000000001</v>
      </c>
      <c r="K21" s="206" t="s">
        <v>290</v>
      </c>
      <c r="L21" s="208">
        <v>10.5</v>
      </c>
      <c r="M21" s="211"/>
      <c r="N2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30000</v>
      </c>
      <c r="O2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0.18082868461541551</v>
      </c>
      <c r="P2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17467.303389755354</v>
      </c>
      <c r="Q21"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15892.278350577475</v>
      </c>
      <c r="R21" s="184">
        <f>IF(Operations[[#This Row],[Calc List Price]]=0,0,IF(Operations[[#This Row],[Units per Hour]]*Operations[[#This Row],[Annual Use]]=0,0,(Operations[[#This Row],[Calc Beg Yr. Value]]-Operations[[#This Row],[Calc End Yr. Value]])/(Operations[[#This Row],[Annual Use]])))</f>
        <v>5.2500834639262637</v>
      </c>
      <c r="S21" s="185">
        <f>IF(Operations[[#This Row],[Annual Use]]=0,0,Operations[[#This Row],[Calc Beg Yr. Value]]*'General Variables'!$B$7/Operations[[#This Row],[Annual Use]])</f>
        <v>1.1644868926503571</v>
      </c>
      <c r="T21" s="185">
        <f>IF(Operations[[#This Row],[Annual Use]]=0,0,Operations[[#This Row],[Calc Beg Yr. Value]]*'General Variables'!$B$8/Operations[[#This Row],[Annual Use]])</f>
        <v>2.3289737853007142</v>
      </c>
      <c r="U21" s="185">
        <f>SUM(Operations[[#This Row],[Depreciation per Unit]:[Opportunity Cost per Unit]])</f>
        <v>8.7435441418773348</v>
      </c>
      <c r="W21" s="15" t="s">
        <v>192</v>
      </c>
      <c r="X21" s="15" t="s">
        <v>141</v>
      </c>
      <c r="Y21" s="16" t="s">
        <v>173</v>
      </c>
      <c r="Z21" s="16" t="s">
        <v>151</v>
      </c>
      <c r="AA21" s="17">
        <v>2500</v>
      </c>
    </row>
    <row r="22" spans="1:39" ht="12.75" customHeight="1">
      <c r="A22" s="204" t="s">
        <v>498</v>
      </c>
      <c r="B22" s="205" t="s">
        <v>83</v>
      </c>
      <c r="C22" s="206" t="s">
        <v>370</v>
      </c>
      <c r="D22" s="206" t="s">
        <v>390</v>
      </c>
      <c r="E22" s="207">
        <v>30183</v>
      </c>
      <c r="F22" s="208"/>
      <c r="G22" s="207">
        <v>5</v>
      </c>
      <c r="H22" s="207">
        <v>300</v>
      </c>
      <c r="I22" s="212">
        <v>7.0212765957446823</v>
      </c>
      <c r="J22" s="210">
        <v>1.1000000000000001</v>
      </c>
      <c r="K22" s="206" t="s">
        <v>485</v>
      </c>
      <c r="L22" s="208">
        <v>4.3882978723404262</v>
      </c>
      <c r="M22" s="211"/>
      <c r="N2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0.91016771564055787</v>
      </c>
      <c r="P2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2"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2" s="184">
        <f>IF(Operations[[#This Row],[Calc List Price]]=0,0,IF(Operations[[#This Row],[Units per Hour]]*Operations[[#This Row],[Annual Use]]=0,0,(Operations[[#This Row],[Calc Beg Yr. Value]]-Operations[[#This Row],[Calc End Yr. Value]])/(Operations[[#This Row],[Annual Use]])))</f>
        <v>2.9916317530877858</v>
      </c>
      <c r="S22" s="185">
        <f>IF(Operations[[#This Row],[Annual Use]]=0,0,Operations[[#This Row],[Calc Beg Yr. Value]]*'General Variables'!$B$7/Operations[[#This Row],[Annual Use]])</f>
        <v>0.83720992695259833</v>
      </c>
      <c r="T22" s="185">
        <f>IF(Operations[[#This Row],[Annual Use]]=0,0,Operations[[#This Row],[Calc Beg Yr. Value]]*'General Variables'!$B$8/Operations[[#This Row],[Annual Use]])</f>
        <v>1.6744198539051967</v>
      </c>
      <c r="U22" s="185">
        <f>SUM(Operations[[#This Row],[Depreciation per Unit]:[Opportunity Cost per Unit]])</f>
        <v>5.5032615339455813</v>
      </c>
      <c r="W22" s="15" t="s">
        <v>193</v>
      </c>
      <c r="X22" s="15" t="s">
        <v>141</v>
      </c>
      <c r="Y22" s="16" t="s">
        <v>194</v>
      </c>
      <c r="Z22" s="16" t="s">
        <v>137</v>
      </c>
      <c r="AA22" s="18">
        <v>2500</v>
      </c>
    </row>
    <row r="23" spans="1:39" ht="12.75" customHeight="1">
      <c r="A23" s="204" t="s">
        <v>506</v>
      </c>
      <c r="B23" s="205" t="s">
        <v>83</v>
      </c>
      <c r="C23" s="206" t="s">
        <v>370</v>
      </c>
      <c r="D23" s="206" t="s">
        <v>390</v>
      </c>
      <c r="E23" s="207"/>
      <c r="F23" s="208">
        <v>1000</v>
      </c>
      <c r="G23" s="207">
        <v>15</v>
      </c>
      <c r="H23" s="207">
        <v>200</v>
      </c>
      <c r="I23" s="209">
        <v>10</v>
      </c>
      <c r="J23" s="210">
        <v>1</v>
      </c>
      <c r="K23" s="206" t="s">
        <v>485</v>
      </c>
      <c r="L23" s="208">
        <v>2</v>
      </c>
      <c r="M23" s="211"/>
      <c r="N2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4625.372477991923</v>
      </c>
      <c r="O2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0.10943723409931677</v>
      </c>
      <c r="P2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1000.0000000000001</v>
      </c>
      <c r="Q23"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940.80538739603514</v>
      </c>
      <c r="R23" s="184">
        <f>IF(Operations[[#This Row],[Calc List Price]]=0,0,IF(Operations[[#This Row],[Units per Hour]]*Operations[[#This Row],[Annual Use]]=0,0,(Operations[[#This Row],[Calc Beg Yr. Value]]-Operations[[#This Row],[Calc End Yr. Value]])/(Operations[[#This Row],[Annual Use]])))</f>
        <v>0.29597306301982484</v>
      </c>
      <c r="S23" s="185">
        <f>IF(Operations[[#This Row],[Annual Use]]=0,0,Operations[[#This Row],[Calc Beg Yr. Value]]*'General Variables'!$B$7/Operations[[#This Row],[Annual Use]])</f>
        <v>0.10000000000000002</v>
      </c>
      <c r="T23" s="185">
        <f>IF(Operations[[#This Row],[Annual Use]]=0,0,Operations[[#This Row],[Calc Beg Yr. Value]]*'General Variables'!$B$8/Operations[[#This Row],[Annual Use]])</f>
        <v>0.20000000000000004</v>
      </c>
      <c r="U23" s="185">
        <f>SUM(Operations[[#This Row],[Depreciation per Unit]:[Opportunity Cost per Unit]])</f>
        <v>0.59597306301982489</v>
      </c>
      <c r="W23" s="15" t="s">
        <v>195</v>
      </c>
      <c r="X23" s="15" t="s">
        <v>156</v>
      </c>
      <c r="Y23" s="16" t="s">
        <v>194</v>
      </c>
      <c r="Z23" s="16" t="s">
        <v>180</v>
      </c>
      <c r="AA23" s="18">
        <v>2000</v>
      </c>
    </row>
    <row r="24" spans="1:39" ht="12.75" customHeight="1">
      <c r="A24" s="204" t="s">
        <v>317</v>
      </c>
      <c r="B24" s="205" t="s">
        <v>83</v>
      </c>
      <c r="C24" s="206" t="s">
        <v>371</v>
      </c>
      <c r="D24" s="206" t="s">
        <v>390</v>
      </c>
      <c r="E24" s="207">
        <v>45905</v>
      </c>
      <c r="F24" s="208"/>
      <c r="G24" s="207">
        <v>5</v>
      </c>
      <c r="H24" s="207">
        <v>2000</v>
      </c>
      <c r="I24" s="214">
        <v>10.90909090909091</v>
      </c>
      <c r="J24" s="210">
        <v>1.1000000000000001</v>
      </c>
      <c r="K24" s="206" t="s">
        <v>289</v>
      </c>
      <c r="L24" s="208">
        <v>8.290909090909091</v>
      </c>
      <c r="M24" s="211"/>
      <c r="N2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45905</v>
      </c>
      <c r="O2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1.294762009764874</v>
      </c>
      <c r="P2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19099.553571592794</v>
      </c>
      <c r="Q24"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17734.571406544641</v>
      </c>
      <c r="R24" s="184">
        <f>IF(Operations[[#This Row],[Calc List Price]]=0,0,IF(Operations[[#This Row],[Units per Hour]]*Operations[[#This Row],[Annual Use]]=0,0,(Operations[[#This Row],[Calc Beg Yr. Value]]-Operations[[#This Row],[Calc End Yr. Value]])/(Operations[[#This Row],[Annual Use]])))</f>
        <v>0.68249108252407675</v>
      </c>
      <c r="S24" s="185">
        <f>IF(Operations[[#This Row],[Annual Use]]=0,0,Operations[[#This Row],[Calc Beg Yr. Value]]*'General Variables'!$B$7/Operations[[#This Row],[Annual Use]])</f>
        <v>0.19099553571592795</v>
      </c>
      <c r="T24" s="185">
        <f>IF(Operations[[#This Row],[Annual Use]]=0,0,Operations[[#This Row],[Calc Beg Yr. Value]]*'General Variables'!$B$8/Operations[[#This Row],[Annual Use]])</f>
        <v>0.3819910714318559</v>
      </c>
      <c r="U24" s="185">
        <f>SUM(Operations[[#This Row],[Depreciation per Unit]:[Opportunity Cost per Unit]])</f>
        <v>1.2554776896718607</v>
      </c>
      <c r="W24" s="15" t="s">
        <v>196</v>
      </c>
      <c r="X24" s="15" t="s">
        <v>156</v>
      </c>
      <c r="Y24" s="16" t="s">
        <v>177</v>
      </c>
      <c r="Z24" s="16" t="s">
        <v>162</v>
      </c>
      <c r="AA24" s="18">
        <v>1500</v>
      </c>
    </row>
    <row r="25" spans="1:39" ht="12.75" customHeight="1">
      <c r="A25" s="204" t="s">
        <v>318</v>
      </c>
      <c r="B25" s="205" t="s">
        <v>496</v>
      </c>
      <c r="C25" s="205"/>
      <c r="D25" s="205"/>
      <c r="E25" s="207"/>
      <c r="F25" s="208"/>
      <c r="G25" s="207">
        <v>5</v>
      </c>
      <c r="H25" s="207">
        <v>1000</v>
      </c>
      <c r="I25" s="212">
        <v>1.8</v>
      </c>
      <c r="J25" s="218">
        <f>7/24</f>
        <v>0.29166666666666669</v>
      </c>
      <c r="K25" s="206" t="s">
        <v>526</v>
      </c>
      <c r="L25" s="208">
        <v>0</v>
      </c>
      <c r="M25" s="211"/>
      <c r="N2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5" s="184">
        <f>IF(Operations[[#This Row],[Calc List Price]]=0,0,IF(Operations[[#This Row],[Units per Hour]]*Operations[[#This Row],[Annual Use]]=0,0,(Operations[[#This Row],[Calc Beg Yr. Value]]-Operations[[#This Row],[Calc End Yr. Value]])/(Operations[[#This Row],[Annual Use]])))</f>
        <v>0</v>
      </c>
      <c r="S25" s="185">
        <f>IF(Operations[[#This Row],[Annual Use]]=0,0,Operations[[#This Row],[Calc Beg Yr. Value]]*'General Variables'!$B$7/Operations[[#This Row],[Annual Use]])</f>
        <v>0</v>
      </c>
      <c r="T25" s="185">
        <f>IF(Operations[[#This Row],[Annual Use]]=0,0,Operations[[#This Row],[Calc Beg Yr. Value]]*'General Variables'!$B$8/Operations[[#This Row],[Annual Use]])</f>
        <v>0</v>
      </c>
      <c r="U25" s="185">
        <f>SUM(Operations[[#This Row],[Depreciation per Unit]:[Opportunity Cost per Unit]])</f>
        <v>0</v>
      </c>
      <c r="W25" s="15" t="s">
        <v>197</v>
      </c>
      <c r="X25" s="15" t="s">
        <v>156</v>
      </c>
      <c r="Y25" s="16" t="s">
        <v>198</v>
      </c>
      <c r="Z25" s="16" t="s">
        <v>143</v>
      </c>
      <c r="AA25" s="17">
        <v>2000</v>
      </c>
    </row>
    <row r="26" spans="1:39" ht="12.75" customHeight="1">
      <c r="A26" s="204" t="s">
        <v>319</v>
      </c>
      <c r="B26" s="205" t="s">
        <v>83</v>
      </c>
      <c r="C26" s="206" t="s">
        <v>372</v>
      </c>
      <c r="D26" s="206" t="s">
        <v>363</v>
      </c>
      <c r="E26" s="213">
        <v>10000</v>
      </c>
      <c r="F26" s="208"/>
      <c r="G26" s="207">
        <v>5</v>
      </c>
      <c r="H26" s="207">
        <v>150</v>
      </c>
      <c r="I26" s="212">
        <v>12.3943661971831</v>
      </c>
      <c r="J26" s="210">
        <v>1.1000000000000001</v>
      </c>
      <c r="K26" s="206" t="s">
        <v>485</v>
      </c>
      <c r="L26" s="208">
        <v>2.1070422535211271</v>
      </c>
      <c r="M26" s="211"/>
      <c r="N2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2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6.4938259426602418E-2</v>
      </c>
      <c r="P2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26"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26" s="184">
        <f>IF(Operations[[#This Row],[Calc List Price]]=0,0,IF(Operations[[#This Row],[Units per Hour]]*Operations[[#This Row],[Annual Use]]=0,0,(Operations[[#This Row],[Calc Beg Yr. Value]]-Operations[[#This Row],[Calc End Yr. Value]])/(Operations[[#This Row],[Annual Use]])))</f>
        <v>1.4962416115818118</v>
      </c>
      <c r="S26" s="185">
        <f>IF(Operations[[#This Row],[Annual Use]]=0,0,Operations[[#This Row],[Calc Beg Yr. Value]]*'General Variables'!$B$7/Operations[[#This Row],[Annual Use]])</f>
        <v>0.4602362424309005</v>
      </c>
      <c r="T26" s="185">
        <f>IF(Operations[[#This Row],[Annual Use]]=0,0,Operations[[#This Row],[Calc Beg Yr. Value]]*'General Variables'!$B$8/Operations[[#This Row],[Annual Use]])</f>
        <v>0.920472484861801</v>
      </c>
      <c r="U26" s="185">
        <f>SUM(Operations[[#This Row],[Depreciation per Unit]:[Opportunity Cost per Unit]])</f>
        <v>2.8769503388745132</v>
      </c>
      <c r="W26" s="15" t="s">
        <v>199</v>
      </c>
      <c r="X26" s="15" t="s">
        <v>141</v>
      </c>
      <c r="Y26" s="16" t="s">
        <v>200</v>
      </c>
      <c r="Z26" s="16" t="s">
        <v>154</v>
      </c>
      <c r="AA26" s="18">
        <v>2500</v>
      </c>
    </row>
    <row r="27" spans="1:39" ht="12.75" customHeight="1">
      <c r="A27" s="204" t="s">
        <v>320</v>
      </c>
      <c r="B27" s="205" t="s">
        <v>83</v>
      </c>
      <c r="C27" s="206" t="s">
        <v>373</v>
      </c>
      <c r="D27" s="206" t="s">
        <v>392</v>
      </c>
      <c r="E27" s="207">
        <v>26953</v>
      </c>
      <c r="F27" s="208"/>
      <c r="G27" s="207">
        <v>5</v>
      </c>
      <c r="H27" s="207">
        <v>1000</v>
      </c>
      <c r="I27" s="214">
        <v>7.3333333333333339</v>
      </c>
      <c r="J27" s="210">
        <v>1.1000000000000001</v>
      </c>
      <c r="K27" s="206" t="s">
        <v>485</v>
      </c>
      <c r="L27" s="208">
        <v>4.9866666666666672</v>
      </c>
      <c r="M27" s="211"/>
      <c r="N2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26953</v>
      </c>
      <c r="O27"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1.8001479150021533</v>
      </c>
      <c r="P2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13532.969452267631</v>
      </c>
      <c r="Q27"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12904.575854314955</v>
      </c>
      <c r="R27" s="184">
        <f>IF(Operations[[#This Row],[Calc List Price]]=0,0,IF(Operations[[#This Row],[Units per Hour]]*Operations[[#This Row],[Annual Use]]=0,0,(Operations[[#This Row],[Calc Beg Yr. Value]]-Operations[[#This Row],[Calc End Yr. Value]])/(Operations[[#This Row],[Annual Use]])))</f>
        <v>0.62839359795267591</v>
      </c>
      <c r="S27" s="185">
        <f>IF(Operations[[#This Row],[Annual Use]]=0,0,Operations[[#This Row],[Calc Beg Yr. Value]]*'General Variables'!$B$7/Operations[[#This Row],[Annual Use]])</f>
        <v>0.27065938904535264</v>
      </c>
      <c r="T27" s="185">
        <f>IF(Operations[[#This Row],[Annual Use]]=0,0,Operations[[#This Row],[Calc Beg Yr. Value]]*'General Variables'!$B$8/Operations[[#This Row],[Annual Use]])</f>
        <v>0.54131877809070528</v>
      </c>
      <c r="U27" s="185">
        <f>SUM(Operations[[#This Row],[Depreciation per Unit]:[Opportunity Cost per Unit]])</f>
        <v>1.440371765088734</v>
      </c>
      <c r="W27" s="15" t="s">
        <v>201</v>
      </c>
      <c r="X27" s="15" t="s">
        <v>141</v>
      </c>
      <c r="Y27" s="16" t="s">
        <v>170</v>
      </c>
      <c r="Z27" s="16" t="s">
        <v>154</v>
      </c>
      <c r="AA27" s="18">
        <v>2500</v>
      </c>
    </row>
    <row r="28" spans="1:39" ht="12.75" customHeight="1">
      <c r="A28" s="204" t="s">
        <v>321</v>
      </c>
      <c r="B28" s="205" t="s">
        <v>489</v>
      </c>
      <c r="C28" s="205"/>
      <c r="D28" s="205"/>
      <c r="E28" s="207"/>
      <c r="F28" s="208"/>
      <c r="G28" s="207"/>
      <c r="H28" s="207"/>
      <c r="I28" s="212" t="s">
        <v>431</v>
      </c>
      <c r="J28" s="210"/>
      <c r="K28" s="206"/>
      <c r="L28" s="208" t="s">
        <v>431</v>
      </c>
      <c r="M28" s="211"/>
      <c r="N28"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8"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8"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8"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8" s="184">
        <f>IF(Operations[[#This Row],[Calc List Price]]=0,0,IF(Operations[[#This Row],[Units per Hour]]*Operations[[#This Row],[Annual Use]]=0,0,(Operations[[#This Row],[Calc Beg Yr. Value]]-Operations[[#This Row],[Calc End Yr. Value]])/(Operations[[#This Row],[Annual Use]])))</f>
        <v>0</v>
      </c>
      <c r="S28" s="185">
        <f>IF(Operations[[#This Row],[Annual Use]]=0,0,Operations[[#This Row],[Calc Beg Yr. Value]]*'General Variables'!$B$7/Operations[[#This Row],[Annual Use]])</f>
        <v>0</v>
      </c>
      <c r="T28" s="185">
        <f>IF(Operations[[#This Row],[Annual Use]]=0,0,Operations[[#This Row],[Calc Beg Yr. Value]]*'General Variables'!$B$8/Operations[[#This Row],[Annual Use]])</f>
        <v>0</v>
      </c>
      <c r="U28" s="185">
        <f>SUM(Operations[[#This Row],[Depreciation per Unit]:[Opportunity Cost per Unit]])</f>
        <v>0</v>
      </c>
      <c r="W28" s="15" t="s">
        <v>202</v>
      </c>
      <c r="X28" s="15" t="s">
        <v>156</v>
      </c>
      <c r="Y28" s="16" t="s">
        <v>194</v>
      </c>
      <c r="Z28" s="16" t="s">
        <v>180</v>
      </c>
      <c r="AA28" s="18">
        <v>2000</v>
      </c>
    </row>
    <row r="29" spans="1:39" ht="12.75" customHeight="1">
      <c r="A29" s="204" t="s">
        <v>322</v>
      </c>
      <c r="B29" s="205" t="s">
        <v>83</v>
      </c>
      <c r="C29" s="206" t="s">
        <v>374</v>
      </c>
      <c r="D29" s="206" t="s">
        <v>390</v>
      </c>
      <c r="E29" s="207">
        <v>30183</v>
      </c>
      <c r="F29" s="208"/>
      <c r="G29" s="207">
        <v>5</v>
      </c>
      <c r="H29" s="207">
        <v>1000</v>
      </c>
      <c r="I29" s="212">
        <v>21.290322580645164</v>
      </c>
      <c r="J29" s="210">
        <v>1.1000000000000001</v>
      </c>
      <c r="K29" s="206" t="s">
        <v>289</v>
      </c>
      <c r="L29" s="208">
        <v>8.6225806451612925</v>
      </c>
      <c r="M29" s="211"/>
      <c r="N29"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9"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0.19641368857853767</v>
      </c>
      <c r="P29"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9"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9" s="184">
        <f>IF(Operations[[#This Row],[Calc List Price]]=0,0,IF(Operations[[#This Row],[Units per Hour]]*Operations[[#This Row],[Annual Use]]=0,0,(Operations[[#This Row],[Calc Beg Yr. Value]]-Operations[[#This Row],[Calc End Yr. Value]])/(Operations[[#This Row],[Annual Use]])))</f>
        <v>0.8974895259263358</v>
      </c>
      <c r="S29" s="185">
        <f>IF(Operations[[#This Row],[Annual Use]]=0,0,Operations[[#This Row],[Calc Beg Yr. Value]]*'General Variables'!$B$7/Operations[[#This Row],[Annual Use]])</f>
        <v>0.25116297808577948</v>
      </c>
      <c r="T29" s="185">
        <f>IF(Operations[[#This Row],[Annual Use]]=0,0,Operations[[#This Row],[Calc Beg Yr. Value]]*'General Variables'!$B$8/Operations[[#This Row],[Annual Use]])</f>
        <v>0.50232595617155895</v>
      </c>
      <c r="U29" s="185">
        <f>SUM(Operations[[#This Row],[Depreciation per Unit]:[Opportunity Cost per Unit]])</f>
        <v>1.6509784601836743</v>
      </c>
      <c r="W29" s="15" t="s">
        <v>203</v>
      </c>
      <c r="X29" s="15" t="s">
        <v>156</v>
      </c>
      <c r="Y29" s="16" t="s">
        <v>147</v>
      </c>
      <c r="Z29" s="16" t="s">
        <v>154</v>
      </c>
      <c r="AA29" s="18">
        <v>2000</v>
      </c>
    </row>
    <row r="30" spans="1:39" ht="12.75" customHeight="1">
      <c r="A30" s="204" t="s">
        <v>323</v>
      </c>
      <c r="B30" s="205" t="s">
        <v>83</v>
      </c>
      <c r="C30" s="206" t="s">
        <v>370</v>
      </c>
      <c r="D30" s="206" t="s">
        <v>390</v>
      </c>
      <c r="E30" s="207">
        <v>30183</v>
      </c>
      <c r="F30" s="208"/>
      <c r="G30" s="207">
        <v>5</v>
      </c>
      <c r="H30" s="207">
        <v>2000</v>
      </c>
      <c r="I30" s="212">
        <v>21.290322580645164</v>
      </c>
      <c r="J30" s="210">
        <v>1.1000000000000001</v>
      </c>
      <c r="K30" s="206" t="s">
        <v>289</v>
      </c>
      <c r="L30" s="208">
        <v>8.1967741935483875</v>
      </c>
      <c r="M30" s="211"/>
      <c r="N3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3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0.41135075559779732</v>
      </c>
      <c r="P3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30"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30" s="184">
        <f>IF(Operations[[#This Row],[Calc List Price]]=0,0,IF(Operations[[#This Row],[Units per Hour]]*Operations[[#This Row],[Annual Use]]=0,0,(Operations[[#This Row],[Calc Beg Yr. Value]]-Operations[[#This Row],[Calc End Yr. Value]])/(Operations[[#This Row],[Annual Use]])))</f>
        <v>0.4487447629631679</v>
      </c>
      <c r="S30" s="185">
        <f>IF(Operations[[#This Row],[Annual Use]]=0,0,Operations[[#This Row],[Calc Beg Yr. Value]]*'General Variables'!$B$7/Operations[[#This Row],[Annual Use]])</f>
        <v>0.12558148904288974</v>
      </c>
      <c r="T30" s="185">
        <f>IF(Operations[[#This Row],[Annual Use]]=0,0,Operations[[#This Row],[Calc Beg Yr. Value]]*'General Variables'!$B$8/Operations[[#This Row],[Annual Use]])</f>
        <v>0.25116297808577948</v>
      </c>
      <c r="U30" s="185">
        <f>SUM(Operations[[#This Row],[Depreciation per Unit]:[Opportunity Cost per Unit]])</f>
        <v>0.82548923009183717</v>
      </c>
      <c r="W30" s="15" t="s">
        <v>204</v>
      </c>
      <c r="X30" s="15" t="s">
        <v>156</v>
      </c>
      <c r="Y30" s="16" t="s">
        <v>205</v>
      </c>
      <c r="Z30" s="16" t="s">
        <v>137</v>
      </c>
      <c r="AA30" s="18">
        <v>1500</v>
      </c>
    </row>
    <row r="31" spans="1:39" ht="12.75" customHeight="1">
      <c r="A31" s="204" t="s">
        <v>41</v>
      </c>
      <c r="B31" s="205" t="s">
        <v>83</v>
      </c>
      <c r="C31" s="205" t="s">
        <v>373</v>
      </c>
      <c r="D31" s="205" t="s">
        <v>392</v>
      </c>
      <c r="E31" s="207"/>
      <c r="F31" s="208">
        <v>3850</v>
      </c>
      <c r="G31" s="207">
        <v>5</v>
      </c>
      <c r="H31" s="207">
        <v>160</v>
      </c>
      <c r="I31" s="212">
        <v>4.907063197026023</v>
      </c>
      <c r="J31" s="210">
        <v>1.1000000000000001</v>
      </c>
      <c r="K31" s="206" t="s">
        <v>485</v>
      </c>
      <c r="L31" s="208">
        <v>4.2936802973977706</v>
      </c>
      <c r="M31" s="211"/>
      <c r="N3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7667.869964977428</v>
      </c>
      <c r="O3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0.15860443530544582</v>
      </c>
      <c r="P3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3850</v>
      </c>
      <c r="Q31"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3671.2280489769068</v>
      </c>
      <c r="R31" s="184">
        <f>IF(Operations[[#This Row],[Calc List Price]]=0,0,IF(Operations[[#This Row],[Units per Hour]]*Operations[[#This Row],[Annual Use]]=0,0,(Operations[[#This Row],[Calc Beg Yr. Value]]-Operations[[#This Row],[Calc End Yr. Value]])/(Operations[[#This Row],[Annual Use]])))</f>
        <v>1.1173246938943322</v>
      </c>
      <c r="S31" s="185">
        <f>IF(Operations[[#This Row],[Annual Use]]=0,0,Operations[[#This Row],[Calc Beg Yr. Value]]*'General Variables'!$B$7/Operations[[#This Row],[Annual Use]])</f>
        <v>0.48125000000000001</v>
      </c>
      <c r="T31" s="185">
        <f>IF(Operations[[#This Row],[Annual Use]]=0,0,Operations[[#This Row],[Calc Beg Yr. Value]]*'General Variables'!$B$8/Operations[[#This Row],[Annual Use]])</f>
        <v>0.96250000000000002</v>
      </c>
      <c r="U31" s="185">
        <f>SUM(Operations[[#This Row],[Depreciation per Unit]:[Opportunity Cost per Unit]])</f>
        <v>2.5610746938943323</v>
      </c>
      <c r="W31" s="15" t="s">
        <v>206</v>
      </c>
      <c r="X31" s="15" t="s">
        <v>149</v>
      </c>
      <c r="Y31" s="16" t="s">
        <v>150</v>
      </c>
      <c r="Z31" s="16" t="s">
        <v>151</v>
      </c>
      <c r="AA31" s="17">
        <v>2000</v>
      </c>
    </row>
    <row r="32" spans="1:39" ht="12.75" customHeight="1">
      <c r="A32" s="204" t="s">
        <v>324</v>
      </c>
      <c r="B32" s="205" t="s">
        <v>83</v>
      </c>
      <c r="C32" s="206" t="s">
        <v>375</v>
      </c>
      <c r="D32" s="206" t="s">
        <v>390</v>
      </c>
      <c r="E32" s="207">
        <v>15470</v>
      </c>
      <c r="F32" s="208"/>
      <c r="G32" s="207">
        <v>5</v>
      </c>
      <c r="H32" s="207">
        <v>1000</v>
      </c>
      <c r="I32" s="212">
        <v>18.591549295774648</v>
      </c>
      <c r="J32" s="210">
        <v>1.1000000000000001</v>
      </c>
      <c r="K32" s="206" t="s">
        <v>485</v>
      </c>
      <c r="L32" s="208">
        <v>2.0450704225352112</v>
      </c>
      <c r="M32" s="211"/>
      <c r="N3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15470</v>
      </c>
      <c r="O3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0.19317082473063524</v>
      </c>
      <c r="P3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6436.5557946310973</v>
      </c>
      <c r="Q32"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5976.556358985853</v>
      </c>
      <c r="R32" s="184">
        <f>IF(Operations[[#This Row],[Calc List Price]]=0,0,IF(Operations[[#This Row],[Units per Hour]]*Operations[[#This Row],[Annual Use]]=0,0,(Operations[[#This Row],[Calc Beg Yr. Value]]-Operations[[#This Row],[Calc End Yr. Value]])/(Operations[[#This Row],[Annual Use]])))</f>
        <v>0.45999943564524437</v>
      </c>
      <c r="S32" s="185">
        <f>IF(Operations[[#This Row],[Annual Use]]=0,0,Operations[[#This Row],[Calc Beg Yr. Value]]*'General Variables'!$B$7/Operations[[#This Row],[Annual Use]])</f>
        <v>0.12873111589262196</v>
      </c>
      <c r="T32" s="185">
        <f>IF(Operations[[#This Row],[Annual Use]]=0,0,Operations[[#This Row],[Calc Beg Yr. Value]]*'General Variables'!$B$8/Operations[[#This Row],[Annual Use]])</f>
        <v>0.25746223178524391</v>
      </c>
      <c r="U32" s="185">
        <f>SUM(Operations[[#This Row],[Depreciation per Unit]:[Opportunity Cost per Unit]])</f>
        <v>0.84619278332311021</v>
      </c>
      <c r="W32" s="15" t="s">
        <v>207</v>
      </c>
      <c r="X32" s="15" t="s">
        <v>149</v>
      </c>
      <c r="Y32" s="16" t="s">
        <v>208</v>
      </c>
      <c r="Z32" s="16" t="s">
        <v>180</v>
      </c>
      <c r="AA32" s="18">
        <v>2500</v>
      </c>
    </row>
    <row r="33" spans="1:27" ht="12.75" customHeight="1">
      <c r="A33" s="204" t="s">
        <v>325</v>
      </c>
      <c r="B33" s="205" t="s">
        <v>83</v>
      </c>
      <c r="C33" s="206" t="s">
        <v>376</v>
      </c>
      <c r="D33" s="206" t="s">
        <v>390</v>
      </c>
      <c r="E33" s="207"/>
      <c r="F33" s="208">
        <v>4500</v>
      </c>
      <c r="G33" s="207">
        <v>5</v>
      </c>
      <c r="H33" s="207">
        <v>1000</v>
      </c>
      <c r="I33" s="212">
        <v>6.5024630541871931</v>
      </c>
      <c r="J33" s="210">
        <v>1.1000000000000001</v>
      </c>
      <c r="K33" s="206" t="s">
        <v>485</v>
      </c>
      <c r="L33" s="208">
        <v>5.332019704433498</v>
      </c>
      <c r="M33" s="211"/>
      <c r="N3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10815.566930697272</v>
      </c>
      <c r="O3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0.50901242530582158</v>
      </c>
      <c r="P3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33"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4178.3998264832508</v>
      </c>
      <c r="R33" s="184">
        <f>IF(Operations[[#This Row],[Calc List Price]]=0,0,IF(Operations[[#This Row],[Units per Hour]]*Operations[[#This Row],[Annual Use]]=0,0,(Operations[[#This Row],[Calc Beg Yr. Value]]-Operations[[#This Row],[Calc End Yr. Value]])/(Operations[[#This Row],[Annual Use]])))</f>
        <v>0.32160017351674924</v>
      </c>
      <c r="S33" s="185">
        <f>IF(Operations[[#This Row],[Annual Use]]=0,0,Operations[[#This Row],[Calc Beg Yr. Value]]*'General Variables'!$B$7/Operations[[#This Row],[Annual Use]])</f>
        <v>0.09</v>
      </c>
      <c r="T33" s="185">
        <f>IF(Operations[[#This Row],[Annual Use]]=0,0,Operations[[#This Row],[Calc Beg Yr. Value]]*'General Variables'!$B$8/Operations[[#This Row],[Annual Use]])</f>
        <v>0.18</v>
      </c>
      <c r="U33" s="185">
        <f>SUM(Operations[[#This Row],[Depreciation per Unit]:[Opportunity Cost per Unit]])</f>
        <v>0.59160017351674932</v>
      </c>
      <c r="W33" s="15" t="s">
        <v>209</v>
      </c>
      <c r="X33" s="15" t="s">
        <v>149</v>
      </c>
      <c r="Y33" s="16" t="s">
        <v>153</v>
      </c>
      <c r="Z33" s="16" t="s">
        <v>154</v>
      </c>
      <c r="AA33" s="18">
        <v>1200</v>
      </c>
    </row>
    <row r="34" spans="1:27" ht="12.75" customHeight="1">
      <c r="A34" s="204" t="s">
        <v>326</v>
      </c>
      <c r="B34" s="205" t="s">
        <v>83</v>
      </c>
      <c r="C34" s="206" t="s">
        <v>377</v>
      </c>
      <c r="D34" s="206" t="s">
        <v>390</v>
      </c>
      <c r="E34" s="207"/>
      <c r="F34" s="208">
        <v>3000</v>
      </c>
      <c r="G34" s="207">
        <v>5</v>
      </c>
      <c r="H34" s="207">
        <v>3000</v>
      </c>
      <c r="I34" s="212">
        <v>14.666666666666668</v>
      </c>
      <c r="J34" s="210">
        <v>1.1000000000000001</v>
      </c>
      <c r="K34" s="206" t="s">
        <v>289</v>
      </c>
      <c r="L34" s="208">
        <v>3.666666666666667</v>
      </c>
      <c r="M34" s="211"/>
      <c r="N3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7210.3779537981809</v>
      </c>
      <c r="O3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0.16588214756223205</v>
      </c>
      <c r="P3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3000</v>
      </c>
      <c r="Q34"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2785.5998843221669</v>
      </c>
      <c r="R34" s="184">
        <f>IF(Operations[[#This Row],[Calc List Price]]=0,0,IF(Operations[[#This Row],[Units per Hour]]*Operations[[#This Row],[Annual Use]]=0,0,(Operations[[#This Row],[Calc Beg Yr. Value]]-Operations[[#This Row],[Calc End Yr. Value]])/(Operations[[#This Row],[Annual Use]])))</f>
        <v>7.146670522594438E-2</v>
      </c>
      <c r="S34" s="185">
        <f>IF(Operations[[#This Row],[Annual Use]]=0,0,Operations[[#This Row],[Calc Beg Yr. Value]]*'General Variables'!$B$7/Operations[[#This Row],[Annual Use]])</f>
        <v>0.02</v>
      </c>
      <c r="T34" s="185">
        <f>IF(Operations[[#This Row],[Annual Use]]=0,0,Operations[[#This Row],[Calc Beg Yr. Value]]*'General Variables'!$B$8/Operations[[#This Row],[Annual Use]])</f>
        <v>0.04</v>
      </c>
      <c r="U34" s="185">
        <f>SUM(Operations[[#This Row],[Depreciation per Unit]:[Opportunity Cost per Unit]])</f>
        <v>0.13146670522594439</v>
      </c>
      <c r="W34" s="15" t="s">
        <v>210</v>
      </c>
      <c r="X34" s="15" t="s">
        <v>141</v>
      </c>
      <c r="Y34" s="16" t="s">
        <v>211</v>
      </c>
      <c r="Z34" s="16" t="s">
        <v>180</v>
      </c>
      <c r="AA34" s="18">
        <v>1500</v>
      </c>
    </row>
    <row r="35" spans="1:27" ht="12.75" customHeight="1">
      <c r="A35" s="204" t="s">
        <v>327</v>
      </c>
      <c r="B35" s="205" t="s">
        <v>76</v>
      </c>
      <c r="C35" s="206" t="s">
        <v>378</v>
      </c>
      <c r="D35" s="206" t="s">
        <v>393</v>
      </c>
      <c r="E35" s="207">
        <v>28617</v>
      </c>
      <c r="F35" s="208"/>
      <c r="G35" s="207">
        <v>5</v>
      </c>
      <c r="H35" s="207">
        <f>250*5</f>
        <v>1250</v>
      </c>
      <c r="I35" s="212">
        <v>13.321100917431195</v>
      </c>
      <c r="J35" s="210">
        <v>1.1000000000000001</v>
      </c>
      <c r="K35" s="206" t="s">
        <v>485</v>
      </c>
      <c r="L35" s="208">
        <v>2.8761467889908259</v>
      </c>
      <c r="M35" s="211"/>
      <c r="N3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28617</v>
      </c>
      <c r="O3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0.9792987169030597</v>
      </c>
      <c r="P3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11219.946081356364</v>
      </c>
      <c r="Q35"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10460.744526304292</v>
      </c>
      <c r="R35" s="184">
        <f>IF(Operations[[#This Row],[Calc List Price]]=0,0,IF(Operations[[#This Row],[Units per Hour]]*Operations[[#This Row],[Annual Use]]=0,0,(Operations[[#This Row],[Calc Beg Yr. Value]]-Operations[[#This Row],[Calc End Yr. Value]])/(Operations[[#This Row],[Annual Use]])))</f>
        <v>0.60736124404165748</v>
      </c>
      <c r="S35" s="185">
        <f>IF(Operations[[#This Row],[Annual Use]]=0,0,Operations[[#This Row],[Calc Beg Yr. Value]]*'General Variables'!$B$7/Operations[[#This Row],[Annual Use]])</f>
        <v>0.17951913730170183</v>
      </c>
      <c r="T35" s="185">
        <f>IF(Operations[[#This Row],[Annual Use]]=0,0,Operations[[#This Row],[Calc Beg Yr. Value]]*'General Variables'!$B$8/Operations[[#This Row],[Annual Use]])</f>
        <v>0.35903827460340365</v>
      </c>
      <c r="U35" s="185">
        <f>SUM(Operations[[#This Row],[Depreciation per Unit]:[Opportunity Cost per Unit]])</f>
        <v>1.1459186559467631</v>
      </c>
      <c r="W35" s="15" t="s">
        <v>212</v>
      </c>
      <c r="X35" s="15" t="s">
        <v>149</v>
      </c>
      <c r="Y35" s="16" t="s">
        <v>200</v>
      </c>
      <c r="Z35" s="16" t="s">
        <v>180</v>
      </c>
      <c r="AA35" s="18">
        <v>3000</v>
      </c>
    </row>
    <row r="36" spans="1:27" ht="12.75" customHeight="1">
      <c r="A36" s="204" t="s">
        <v>328</v>
      </c>
      <c r="B36" s="205" t="s">
        <v>76</v>
      </c>
      <c r="C36" s="206" t="s">
        <v>379</v>
      </c>
      <c r="D36" s="206" t="s">
        <v>393</v>
      </c>
      <c r="E36" s="207">
        <v>91781</v>
      </c>
      <c r="F36" s="208"/>
      <c r="G36" s="207">
        <v>5</v>
      </c>
      <c r="H36" s="207">
        <f>500*5</f>
        <v>2500</v>
      </c>
      <c r="I36" s="212">
        <v>16.073800738007382</v>
      </c>
      <c r="J36" s="210">
        <v>1.1000000000000001</v>
      </c>
      <c r="K36" s="206" t="s">
        <v>289</v>
      </c>
      <c r="L36" s="208">
        <v>6.1859778597785988</v>
      </c>
      <c r="M36" s="211"/>
      <c r="N3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91781</v>
      </c>
      <c r="O3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0.90689744206210376</v>
      </c>
      <c r="P3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35984.82969189532</v>
      </c>
      <c r="Q36"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33549.903671549575</v>
      </c>
      <c r="R36" s="184">
        <f>IF(Operations[[#This Row],[Calc List Price]]=0,0,IF(Operations[[#This Row],[Units per Hour]]*Operations[[#This Row],[Annual Use]]=0,0,(Operations[[#This Row],[Calc Beg Yr. Value]]-Operations[[#This Row],[Calc End Yr. Value]])/(Operations[[#This Row],[Annual Use]])))</f>
        <v>0.97397040813829805</v>
      </c>
      <c r="S36" s="185">
        <f>IF(Operations[[#This Row],[Annual Use]]=0,0,Operations[[#This Row],[Calc Beg Yr. Value]]*'General Variables'!$B$7/Operations[[#This Row],[Annual Use]])</f>
        <v>0.28787863753516257</v>
      </c>
      <c r="T36" s="185">
        <f>IF(Operations[[#This Row],[Annual Use]]=0,0,Operations[[#This Row],[Calc Beg Yr. Value]]*'General Variables'!$B$8/Operations[[#This Row],[Annual Use]])</f>
        <v>0.57575727507032515</v>
      </c>
      <c r="U36" s="185">
        <f>SUM(Operations[[#This Row],[Depreciation per Unit]:[Opportunity Cost per Unit]])</f>
        <v>1.8376063207437858</v>
      </c>
      <c r="W36" s="15" t="s">
        <v>213</v>
      </c>
      <c r="X36" s="15" t="s">
        <v>149</v>
      </c>
      <c r="Y36" s="16" t="s">
        <v>194</v>
      </c>
      <c r="Z36" s="16" t="s">
        <v>151</v>
      </c>
      <c r="AA36" s="17">
        <v>2000</v>
      </c>
    </row>
    <row r="37" spans="1:27" ht="12.75" customHeight="1">
      <c r="A37" s="204" t="s">
        <v>329</v>
      </c>
      <c r="B37" s="205" t="s">
        <v>83</v>
      </c>
      <c r="C37" s="206" t="s">
        <v>380</v>
      </c>
      <c r="D37" s="206" t="s">
        <v>393</v>
      </c>
      <c r="E37" s="217">
        <v>75000</v>
      </c>
      <c r="F37" s="219">
        <v>35000</v>
      </c>
      <c r="G37" s="207">
        <v>5</v>
      </c>
      <c r="H37" s="207">
        <v>500</v>
      </c>
      <c r="I37" s="212">
        <v>5.1162790697674421</v>
      </c>
      <c r="J37" s="210">
        <v>1.1000000000000001</v>
      </c>
      <c r="K37" s="206" t="s">
        <v>289</v>
      </c>
      <c r="L37" s="208">
        <v>6.1906976744186046</v>
      </c>
      <c r="M37" s="211"/>
      <c r="N3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75000</v>
      </c>
      <c r="O37"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9.330180873064867</v>
      </c>
      <c r="P3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29405.45676002821</v>
      </c>
      <c r="Q37"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27415.726298103291</v>
      </c>
      <c r="R37" s="184">
        <f>IF(Operations[[#This Row],[Calc List Price]]=0,0,IF(Operations[[#This Row],[Units per Hour]]*Operations[[#This Row],[Annual Use]]=0,0,(Operations[[#This Row],[Calc Beg Yr. Value]]-Operations[[#This Row],[Calc End Yr. Value]])/(Operations[[#This Row],[Annual Use]])))</f>
        <v>3.979460923849838</v>
      </c>
      <c r="S37" s="185">
        <f>IF(Operations[[#This Row],[Annual Use]]=0,0,Operations[[#This Row],[Calc Beg Yr. Value]]*'General Variables'!$B$7/Operations[[#This Row],[Annual Use]])</f>
        <v>1.1762182704011284</v>
      </c>
      <c r="T37" s="185">
        <f>IF(Operations[[#This Row],[Annual Use]]=0,0,Operations[[#This Row],[Calc Beg Yr. Value]]*'General Variables'!$B$8/Operations[[#This Row],[Annual Use]])</f>
        <v>2.3524365408022567</v>
      </c>
      <c r="U37" s="185">
        <f>SUM(Operations[[#This Row],[Depreciation per Unit]:[Opportunity Cost per Unit]])</f>
        <v>7.5081157350532237</v>
      </c>
      <c r="W37" s="191" t="s">
        <v>216</v>
      </c>
      <c r="X37" s="173" t="s">
        <v>217</v>
      </c>
      <c r="Y37" s="174">
        <v>0.02</v>
      </c>
      <c r="Z37" s="174">
        <v>1</v>
      </c>
      <c r="AA37" s="192"/>
    </row>
    <row r="38" spans="1:27" ht="12.75" customHeight="1">
      <c r="A38" s="204" t="s">
        <v>330</v>
      </c>
      <c r="B38" s="205" t="s">
        <v>76</v>
      </c>
      <c r="C38" s="206"/>
      <c r="D38" s="206" t="s">
        <v>363</v>
      </c>
      <c r="E38" s="207">
        <v>12725</v>
      </c>
      <c r="F38" s="208"/>
      <c r="G38" s="207">
        <v>5</v>
      </c>
      <c r="H38" s="207">
        <v>3000</v>
      </c>
      <c r="I38" s="212">
        <v>9</v>
      </c>
      <c r="J38" s="210">
        <v>1.1000000000000001</v>
      </c>
      <c r="K38" s="206" t="s">
        <v>289</v>
      </c>
      <c r="L38" s="208">
        <v>3.8511066398390348</v>
      </c>
      <c r="M38" s="211"/>
      <c r="N38"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8"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8"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8"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8" s="184">
        <f>IF(Operations[[#This Row],[Calc List Price]]=0,0,IF(Operations[[#This Row],[Units per Hour]]*Operations[[#This Row],[Annual Use]]=0,0,(Operations[[#This Row],[Calc Beg Yr. Value]]-Operations[[#This Row],[Calc End Yr. Value]])/(Operations[[#This Row],[Annual Use]])))</f>
        <v>9.5198372536893047E-2</v>
      </c>
      <c r="S38" s="185">
        <f>IF(Operations[[#This Row],[Annual Use]]=0,0,Operations[[#This Row],[Calc Beg Yr. Value]]*'General Variables'!$B$7/Operations[[#This Row],[Annual Use]])</f>
        <v>2.928253092466605E-2</v>
      </c>
      <c r="T38" s="185">
        <f>IF(Operations[[#This Row],[Annual Use]]=0,0,Operations[[#This Row],[Calc Beg Yr. Value]]*'General Variables'!$B$8/Operations[[#This Row],[Annual Use]])</f>
        <v>5.8565061849332099E-2</v>
      </c>
      <c r="U38" s="185">
        <f>SUM(Operations[[#This Row],[Depreciation per Unit]:[Opportunity Cost per Unit]])</f>
        <v>0.18304596531089121</v>
      </c>
      <c r="W38" s="193" t="s">
        <v>218</v>
      </c>
      <c r="X38" s="194" t="s">
        <v>217</v>
      </c>
      <c r="Y38" s="195">
        <v>0.03</v>
      </c>
      <c r="Z38" s="195">
        <v>1</v>
      </c>
      <c r="AA38" s="196"/>
    </row>
    <row r="39" spans="1:27" ht="12.75" customHeight="1">
      <c r="A39" s="204" t="s">
        <v>331</v>
      </c>
      <c r="B39" s="205" t="s">
        <v>76</v>
      </c>
      <c r="C39" s="206"/>
      <c r="D39" s="206" t="s">
        <v>363</v>
      </c>
      <c r="E39" s="207">
        <v>12725</v>
      </c>
      <c r="F39" s="208"/>
      <c r="G39" s="207">
        <v>5</v>
      </c>
      <c r="H39" s="207">
        <v>1250</v>
      </c>
      <c r="I39" s="212">
        <v>12.222222222222221</v>
      </c>
      <c r="J39" s="210">
        <v>1.1000000000000001</v>
      </c>
      <c r="K39" s="206" t="s">
        <v>289</v>
      </c>
      <c r="L39" s="208">
        <v>3.9925925925925925</v>
      </c>
      <c r="M39" s="211"/>
      <c r="N39"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9"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9"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9"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9" s="184">
        <f>IF(Operations[[#This Row],[Calc List Price]]=0,0,IF(Operations[[#This Row],[Units per Hour]]*Operations[[#This Row],[Annual Use]]=0,0,(Operations[[#This Row],[Calc Beg Yr. Value]]-Operations[[#This Row],[Calc End Yr. Value]])/(Operations[[#This Row],[Annual Use]])))</f>
        <v>0.22847609408854333</v>
      </c>
      <c r="S39" s="185">
        <f>IF(Operations[[#This Row],[Annual Use]]=0,0,Operations[[#This Row],[Calc Beg Yr. Value]]*'General Variables'!$B$7/Operations[[#This Row],[Annual Use]])</f>
        <v>7.0278074219198516E-2</v>
      </c>
      <c r="T39" s="185">
        <f>IF(Operations[[#This Row],[Annual Use]]=0,0,Operations[[#This Row],[Calc Beg Yr. Value]]*'General Variables'!$B$8/Operations[[#This Row],[Annual Use]])</f>
        <v>0.14055614843839703</v>
      </c>
      <c r="U39" s="185">
        <f>SUM(Operations[[#This Row],[Depreciation per Unit]:[Opportunity Cost per Unit]])</f>
        <v>0.43931031674613885</v>
      </c>
      <c r="W39" s="191" t="s">
        <v>219</v>
      </c>
      <c r="X39" s="173" t="s">
        <v>217</v>
      </c>
      <c r="Y39" s="174">
        <v>0.02</v>
      </c>
      <c r="Z39" s="174">
        <v>1</v>
      </c>
      <c r="AA39" s="192"/>
    </row>
    <row r="40" spans="1:27" ht="12.75" customHeight="1">
      <c r="A40" s="204" t="s">
        <v>332</v>
      </c>
      <c r="B40" s="205" t="s">
        <v>76</v>
      </c>
      <c r="C40" s="206"/>
      <c r="D40" s="206" t="s">
        <v>363</v>
      </c>
      <c r="E40" s="207">
        <v>12725</v>
      </c>
      <c r="F40" s="208"/>
      <c r="G40" s="207">
        <v>5</v>
      </c>
      <c r="H40" s="207">
        <v>1250</v>
      </c>
      <c r="I40" s="212">
        <v>12.110091743119266</v>
      </c>
      <c r="J40" s="210">
        <v>1.1000000000000001</v>
      </c>
      <c r="K40" s="206" t="s">
        <v>485</v>
      </c>
      <c r="L40" s="208">
        <v>3.9761467889908255</v>
      </c>
      <c r="M40" s="211"/>
      <c r="N4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4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4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40"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40" s="184">
        <f>IF(Operations[[#This Row],[Calc List Price]]=0,0,IF(Operations[[#This Row],[Units per Hour]]*Operations[[#This Row],[Annual Use]]=0,0,(Operations[[#This Row],[Calc Beg Yr. Value]]-Operations[[#This Row],[Calc End Yr. Value]])/(Operations[[#This Row],[Annual Use]])))</f>
        <v>0.22847609408854333</v>
      </c>
      <c r="S40" s="185">
        <f>IF(Operations[[#This Row],[Annual Use]]=0,0,Operations[[#This Row],[Calc Beg Yr. Value]]*'General Variables'!$B$7/Operations[[#This Row],[Annual Use]])</f>
        <v>7.0278074219198516E-2</v>
      </c>
      <c r="T40" s="185">
        <f>IF(Operations[[#This Row],[Annual Use]]=0,0,Operations[[#This Row],[Calc Beg Yr. Value]]*'General Variables'!$B$8/Operations[[#This Row],[Annual Use]])</f>
        <v>0.14055614843839703</v>
      </c>
      <c r="U40" s="185">
        <f>SUM(Operations[[#This Row],[Depreciation per Unit]:[Opportunity Cost per Unit]])</f>
        <v>0.43931031674613885</v>
      </c>
      <c r="W40" s="193" t="s">
        <v>220</v>
      </c>
      <c r="X40" s="194" t="s">
        <v>217</v>
      </c>
      <c r="Y40" s="195">
        <v>0.06</v>
      </c>
      <c r="Z40" s="195">
        <v>1</v>
      </c>
      <c r="AA40" s="196"/>
    </row>
    <row r="41" spans="1:27" ht="12.75" customHeight="1">
      <c r="A41" s="204" t="s">
        <v>333</v>
      </c>
      <c r="B41" s="205" t="s">
        <v>83</v>
      </c>
      <c r="C41" s="206" t="s">
        <v>373</v>
      </c>
      <c r="D41" s="206" t="s">
        <v>392</v>
      </c>
      <c r="E41" s="213">
        <v>40000</v>
      </c>
      <c r="F41" s="208"/>
      <c r="G41" s="207">
        <v>5</v>
      </c>
      <c r="H41" s="207">
        <v>1000</v>
      </c>
      <c r="I41" s="212">
        <v>6.8393782383419701</v>
      </c>
      <c r="J41" s="210">
        <v>1.1000000000000001</v>
      </c>
      <c r="K41" s="206" t="s">
        <v>289</v>
      </c>
      <c r="L41" s="208">
        <v>6.0699481865284985</v>
      </c>
      <c r="M41" s="211"/>
      <c r="N4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3.0928521530459605</v>
      </c>
      <c r="P4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1"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1" s="184">
        <f>IF(Operations[[#This Row],[Calc List Price]]=0,0,IF(Operations[[#This Row],[Units per Hour]]*Operations[[#This Row],[Annual Use]]=0,0,(Operations[[#This Row],[Calc Beg Yr. Value]]-Operations[[#This Row],[Calc End Yr. Value]])/(Operations[[#This Row],[Annual Use]])))</f>
        <v>0.93257685297024362</v>
      </c>
      <c r="S41" s="185">
        <f>IF(Operations[[#This Row],[Annual Use]]=0,0,Operations[[#This Row],[Calc Beg Yr. Value]]*'General Variables'!$B$7/Operations[[#This Row],[Annual Use]])</f>
        <v>0.40167608658828713</v>
      </c>
      <c r="T41" s="185">
        <f>IF(Operations[[#This Row],[Annual Use]]=0,0,Operations[[#This Row],[Calc Beg Yr. Value]]*'General Variables'!$B$8/Operations[[#This Row],[Annual Use]])</f>
        <v>0.80335217317657426</v>
      </c>
      <c r="U41" s="185">
        <f>SUM(Operations[[#This Row],[Depreciation per Unit]:[Opportunity Cost per Unit]])</f>
        <v>2.137605112735105</v>
      </c>
      <c r="W41" s="191" t="s">
        <v>221</v>
      </c>
      <c r="X41" s="173" t="s">
        <v>217</v>
      </c>
      <c r="Y41" s="174">
        <v>0.06</v>
      </c>
      <c r="Z41" s="174">
        <v>1</v>
      </c>
      <c r="AA41" s="192"/>
    </row>
    <row r="42" spans="1:27" ht="12.75" customHeight="1">
      <c r="A42" s="204" t="s">
        <v>334</v>
      </c>
      <c r="B42" s="205" t="s">
        <v>83</v>
      </c>
      <c r="C42" s="206" t="s">
        <v>381</v>
      </c>
      <c r="D42" s="206" t="s">
        <v>363</v>
      </c>
      <c r="E42" s="216">
        <v>25000</v>
      </c>
      <c r="F42" s="208"/>
      <c r="G42" s="207">
        <v>5</v>
      </c>
      <c r="H42" s="207">
        <v>300</v>
      </c>
      <c r="I42" s="212">
        <v>7.0212765957446823</v>
      </c>
      <c r="J42" s="210">
        <v>1.1000000000000001</v>
      </c>
      <c r="K42" s="206" t="s">
        <v>485</v>
      </c>
      <c r="L42" s="208">
        <v>6.0734042553191498</v>
      </c>
      <c r="M42" s="211"/>
      <c r="N4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0.477717147326986</v>
      </c>
      <c r="P4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8629.4295455793854</v>
      </c>
      <c r="Q42"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8068.3389412362058</v>
      </c>
      <c r="R42" s="184">
        <f>IF(Operations[[#This Row],[Calc List Price]]=0,0,IF(Operations[[#This Row],[Units per Hour]]*Operations[[#This Row],[Annual Use]]=0,0,(Operations[[#This Row],[Calc Beg Yr. Value]]-Operations[[#This Row],[Calc End Yr. Value]])/(Operations[[#This Row],[Annual Use]])))</f>
        <v>1.8703020144772653</v>
      </c>
      <c r="S42" s="185">
        <f>IF(Operations[[#This Row],[Annual Use]]=0,0,Operations[[#This Row],[Calc Beg Yr. Value]]*'General Variables'!$B$7/Operations[[#This Row],[Annual Use]])</f>
        <v>0.57529530303862575</v>
      </c>
      <c r="T42" s="185">
        <f>IF(Operations[[#This Row],[Annual Use]]=0,0,Operations[[#This Row],[Calc Beg Yr. Value]]*'General Variables'!$B$8/Operations[[#This Row],[Annual Use]])</f>
        <v>1.1505906060772515</v>
      </c>
      <c r="U42" s="185">
        <f>SUM(Operations[[#This Row],[Depreciation per Unit]:[Opportunity Cost per Unit]])</f>
        <v>3.5961879235931429</v>
      </c>
      <c r="W42" s="193" t="s">
        <v>222</v>
      </c>
      <c r="X42" s="194" t="s">
        <v>217</v>
      </c>
      <c r="Y42" s="195">
        <v>4.1500000000000002E-2</v>
      </c>
      <c r="Z42" s="195">
        <v>1</v>
      </c>
      <c r="AA42" s="196"/>
    </row>
    <row r="43" spans="1:27" ht="12.75" customHeight="1">
      <c r="A43" s="204" t="s">
        <v>335</v>
      </c>
      <c r="B43" s="205" t="s">
        <v>496</v>
      </c>
      <c r="C43" s="206" t="s">
        <v>216</v>
      </c>
      <c r="D43" s="206" t="s">
        <v>391</v>
      </c>
      <c r="E43" s="207"/>
      <c r="F43" s="219">
        <v>7500</v>
      </c>
      <c r="G43" s="207">
        <v>10</v>
      </c>
      <c r="H43" s="213">
        <v>2600</v>
      </c>
      <c r="I43" s="212">
        <v>2.25</v>
      </c>
      <c r="J43" s="218">
        <f>5.25/24</f>
        <v>0.21875</v>
      </c>
      <c r="K43" s="206" t="s">
        <v>436</v>
      </c>
      <c r="L43" s="220">
        <v>3.03</v>
      </c>
      <c r="M43" s="211"/>
      <c r="N4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4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4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43"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43" s="184">
        <f>IF(Operations[[#This Row],[Calc List Price]]=0,0,IF(Operations[[#This Row],[Units per Hour]]*Operations[[#This Row],[Annual Use]]=0,0,(Operations[[#This Row],[Calc Beg Yr. Value]]-Operations[[#This Row],[Calc End Yr. Value]])/(Operations[[#This Row],[Annual Use]])))</f>
        <v>0.16454960303879279</v>
      </c>
      <c r="S43" s="185">
        <f>IF(Operations[[#This Row],[Annual Use]]=0,0,Operations[[#This Row],[Calc Beg Yr. Value]]*'General Variables'!$B$7/Operations[[#This Row],[Annual Use]])</f>
        <v>5.7692307692307696E-2</v>
      </c>
      <c r="T43" s="185">
        <f>IF(Operations[[#This Row],[Annual Use]]=0,0,Operations[[#This Row],[Calc Beg Yr. Value]]*'General Variables'!$B$8/Operations[[#This Row],[Annual Use]])</f>
        <v>0.11538461538461539</v>
      </c>
      <c r="U43" s="185">
        <f>SUM(Operations[[#This Row],[Depreciation per Unit]:[Opportunity Cost per Unit]])</f>
        <v>0.33762652611571586</v>
      </c>
      <c r="W43" s="191" t="s">
        <v>223</v>
      </c>
      <c r="X43" s="173" t="s">
        <v>217</v>
      </c>
      <c r="Y43" s="174">
        <v>0.06</v>
      </c>
      <c r="Z43" s="174">
        <v>1</v>
      </c>
      <c r="AA43" s="192"/>
    </row>
    <row r="44" spans="1:27" ht="12.75" customHeight="1">
      <c r="A44" s="204" t="s">
        <v>336</v>
      </c>
      <c r="B44" s="205" t="s">
        <v>496</v>
      </c>
      <c r="C44" s="206" t="s">
        <v>222</v>
      </c>
      <c r="D44" s="206" t="s">
        <v>417</v>
      </c>
      <c r="E44" s="213">
        <v>50000</v>
      </c>
      <c r="F44" s="208"/>
      <c r="G44" s="207">
        <v>10</v>
      </c>
      <c r="H44" s="207">
        <f>130*20</f>
        <v>2600</v>
      </c>
      <c r="I44" s="212">
        <v>1.8</v>
      </c>
      <c r="J44" s="210">
        <f>1.5/24</f>
        <v>6.25E-2</v>
      </c>
      <c r="K44" s="206" t="s">
        <v>364</v>
      </c>
      <c r="L44" s="208">
        <v>3.34</v>
      </c>
      <c r="M44" s="211"/>
      <c r="N4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4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1.1527777777777792</v>
      </c>
      <c r="P4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14750.566652689711</v>
      </c>
      <c r="Q44"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13842.810429726729</v>
      </c>
      <c r="R44" s="184">
        <f>IF(Operations[[#This Row],[Calc List Price]]=0,0,IF(Operations[[#This Row],[Units per Hour]]*Operations[[#This Row],[Annual Use]]=0,0,(Operations[[#This Row],[Calc Beg Yr. Value]]-Operations[[#This Row],[Calc End Yr. Value]])/(Operations[[#This Row],[Annual Use]])))</f>
        <v>0.34913700883191617</v>
      </c>
      <c r="S44" s="185">
        <f>IF(Operations[[#This Row],[Annual Use]]=0,0,Operations[[#This Row],[Calc Beg Yr. Value]]*'General Variables'!$B$7/Operations[[#This Row],[Annual Use]])</f>
        <v>0.11346589732838239</v>
      </c>
      <c r="T44" s="185">
        <f>IF(Operations[[#This Row],[Annual Use]]=0,0,Operations[[#This Row],[Calc Beg Yr. Value]]*'General Variables'!$B$8/Operations[[#This Row],[Annual Use]])</f>
        <v>0.22693179465676477</v>
      </c>
      <c r="U44" s="185">
        <f>SUM(Operations[[#This Row],[Depreciation per Unit]:[Opportunity Cost per Unit]])</f>
        <v>0.68953470081706336</v>
      </c>
      <c r="W44" s="193" t="s">
        <v>224</v>
      </c>
      <c r="X44" s="194" t="s">
        <v>217</v>
      </c>
      <c r="Y44" s="195">
        <v>0.06</v>
      </c>
      <c r="Z44" s="195">
        <v>1</v>
      </c>
      <c r="AA44" s="196"/>
    </row>
    <row r="45" spans="1:27" ht="12.75" customHeight="1">
      <c r="A45" s="204" t="s">
        <v>337</v>
      </c>
      <c r="B45" s="205" t="s">
        <v>496</v>
      </c>
      <c r="C45" s="206" t="s">
        <v>222</v>
      </c>
      <c r="D45" s="206" t="s">
        <v>417</v>
      </c>
      <c r="E45" s="213">
        <v>50000</v>
      </c>
      <c r="F45" s="208"/>
      <c r="G45" s="207">
        <v>10</v>
      </c>
      <c r="H45" s="207">
        <f>130*20</f>
        <v>2600</v>
      </c>
      <c r="I45" s="212">
        <v>1.8</v>
      </c>
      <c r="J45" s="210">
        <f>1.5/24</f>
        <v>6.25E-2</v>
      </c>
      <c r="K45" s="206" t="s">
        <v>366</v>
      </c>
      <c r="L45" s="208"/>
      <c r="M45" s="211">
        <v>47.78</v>
      </c>
      <c r="N4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4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1.1527777777777792</v>
      </c>
      <c r="P4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14750.566652689711</v>
      </c>
      <c r="Q45"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13842.810429726729</v>
      </c>
      <c r="R45" s="184">
        <f>IF(Operations[[#This Row],[Calc List Price]]=0,0,IF(Operations[[#This Row],[Units per Hour]]*Operations[[#This Row],[Annual Use]]=0,0,(Operations[[#This Row],[Calc Beg Yr. Value]]-Operations[[#This Row],[Calc End Yr. Value]])/(Operations[[#This Row],[Annual Use]])))</f>
        <v>0.34913700883191617</v>
      </c>
      <c r="S45" s="185">
        <f>IF(Operations[[#This Row],[Annual Use]]=0,0,Operations[[#This Row],[Calc Beg Yr. Value]]*'General Variables'!$B$7/Operations[[#This Row],[Annual Use]])</f>
        <v>0.11346589732838239</v>
      </c>
      <c r="T45" s="185">
        <f>IF(Operations[[#This Row],[Annual Use]]=0,0,Operations[[#This Row],[Calc Beg Yr. Value]]*'General Variables'!$B$8/Operations[[#This Row],[Annual Use]])</f>
        <v>0.22693179465676477</v>
      </c>
      <c r="U45" s="185">
        <f>SUM(Operations[[#This Row],[Depreciation per Unit]:[Opportunity Cost per Unit]])</f>
        <v>0.68953470081706336</v>
      </c>
      <c r="W45" s="191" t="s">
        <v>225</v>
      </c>
      <c r="X45" s="173" t="s">
        <v>217</v>
      </c>
      <c r="Y45" s="174">
        <v>0.06</v>
      </c>
      <c r="Z45" s="174">
        <v>1</v>
      </c>
      <c r="AA45" s="192"/>
    </row>
    <row r="46" spans="1:27" ht="12.75" customHeight="1">
      <c r="A46" s="204" t="s">
        <v>338</v>
      </c>
      <c r="B46" s="205" t="s">
        <v>83</v>
      </c>
      <c r="C46" s="206" t="s">
        <v>382</v>
      </c>
      <c r="D46" s="206" t="s">
        <v>392</v>
      </c>
      <c r="E46" s="213">
        <v>40000</v>
      </c>
      <c r="F46" s="208"/>
      <c r="G46" s="207">
        <v>5</v>
      </c>
      <c r="H46" s="207">
        <v>1000</v>
      </c>
      <c r="I46" s="212">
        <v>6</v>
      </c>
      <c r="J46" s="210">
        <v>1.1000000000000001</v>
      </c>
      <c r="K46" s="206" t="s">
        <v>485</v>
      </c>
      <c r="L46" s="208">
        <v>2.73</v>
      </c>
      <c r="M46" s="211"/>
      <c r="N4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4.0717062705607763</v>
      </c>
      <c r="P4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6"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6" s="184">
        <f>IF(Operations[[#This Row],[Calc List Price]]=0,0,IF(Operations[[#This Row],[Units per Hour]]*Operations[[#This Row],[Annual Use]]=0,0,(Operations[[#This Row],[Calc Beg Yr. Value]]-Operations[[#This Row],[Calc End Yr. Value]])/(Operations[[#This Row],[Annual Use]])))</f>
        <v>0.93257685297024362</v>
      </c>
      <c r="S46" s="185">
        <f>IF(Operations[[#This Row],[Annual Use]]=0,0,Operations[[#This Row],[Calc Beg Yr. Value]]*'General Variables'!$B$7/Operations[[#This Row],[Annual Use]])</f>
        <v>0.40167608658828713</v>
      </c>
      <c r="T46" s="185">
        <f>IF(Operations[[#This Row],[Annual Use]]=0,0,Operations[[#This Row],[Calc Beg Yr. Value]]*'General Variables'!$B$8/Operations[[#This Row],[Annual Use]])</f>
        <v>0.80335217317657426</v>
      </c>
      <c r="U46" s="185">
        <f>SUM(Operations[[#This Row],[Depreciation per Unit]:[Opportunity Cost per Unit]])</f>
        <v>2.137605112735105</v>
      </c>
      <c r="W46" s="193" t="s">
        <v>226</v>
      </c>
      <c r="X46" s="194" t="s">
        <v>217</v>
      </c>
      <c r="Y46" s="195">
        <v>0.02</v>
      </c>
      <c r="Z46" s="195">
        <v>1</v>
      </c>
      <c r="AA46" s="196"/>
    </row>
    <row r="47" spans="1:27" ht="12.75" customHeight="1">
      <c r="A47" s="204" t="s">
        <v>339</v>
      </c>
      <c r="B47" s="205" t="s">
        <v>83</v>
      </c>
      <c r="C47" s="206" t="s">
        <v>382</v>
      </c>
      <c r="D47" s="206" t="s">
        <v>392</v>
      </c>
      <c r="E47" s="207">
        <v>40000</v>
      </c>
      <c r="F47" s="208"/>
      <c r="G47" s="207">
        <v>5</v>
      </c>
      <c r="H47" s="207">
        <v>1000</v>
      </c>
      <c r="I47" s="212">
        <v>4.1121495327102808</v>
      </c>
      <c r="J47" s="210">
        <v>1.1000000000000001</v>
      </c>
      <c r="K47" s="206" t="s">
        <v>485</v>
      </c>
      <c r="L47" s="208">
        <v>2.580373831775701</v>
      </c>
      <c r="M47" s="211"/>
      <c r="N4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7"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9.0022149618650786</v>
      </c>
      <c r="P4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7"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7" s="184">
        <f>IF(Operations[[#This Row],[Calc List Price]]=0,0,IF(Operations[[#This Row],[Units per Hour]]*Operations[[#This Row],[Annual Use]]=0,0,(Operations[[#This Row],[Calc Beg Yr. Value]]-Operations[[#This Row],[Calc End Yr. Value]])/(Operations[[#This Row],[Annual Use]])))</f>
        <v>0.93257685297024362</v>
      </c>
      <c r="S47" s="185">
        <f>IF(Operations[[#This Row],[Annual Use]]=0,0,Operations[[#This Row],[Calc Beg Yr. Value]]*'General Variables'!$B$7/Operations[[#This Row],[Annual Use]])</f>
        <v>0.40167608658828713</v>
      </c>
      <c r="T47" s="185">
        <f>IF(Operations[[#This Row],[Annual Use]]=0,0,Operations[[#This Row],[Calc Beg Yr. Value]]*'General Variables'!$B$8/Operations[[#This Row],[Annual Use]])</f>
        <v>0.80335217317657426</v>
      </c>
      <c r="U47" s="185">
        <f>SUM(Operations[[#This Row],[Depreciation per Unit]:[Opportunity Cost per Unit]])</f>
        <v>2.137605112735105</v>
      </c>
      <c r="W47" s="191" t="s">
        <v>227</v>
      </c>
      <c r="X47" s="173" t="s">
        <v>217</v>
      </c>
      <c r="Y47" s="174">
        <v>0.01</v>
      </c>
      <c r="Z47" s="174">
        <v>1</v>
      </c>
      <c r="AA47" s="192"/>
    </row>
    <row r="48" spans="1:27" ht="12.75" customHeight="1">
      <c r="A48" s="204" t="s">
        <v>340</v>
      </c>
      <c r="B48" s="205" t="s">
        <v>83</v>
      </c>
      <c r="C48" s="206" t="s">
        <v>382</v>
      </c>
      <c r="D48" s="206" t="s">
        <v>392</v>
      </c>
      <c r="E48" s="213">
        <v>40000</v>
      </c>
      <c r="F48" s="208"/>
      <c r="G48" s="207">
        <v>5</v>
      </c>
      <c r="H48" s="213">
        <v>1000</v>
      </c>
      <c r="I48" s="212">
        <v>5.3877551020408161</v>
      </c>
      <c r="J48" s="210">
        <v>1.1000000000000001</v>
      </c>
      <c r="K48" s="206" t="s">
        <v>485</v>
      </c>
      <c r="L48" s="208">
        <v>3.3808163265306117</v>
      </c>
      <c r="M48" s="211"/>
      <c r="N48"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8"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5.1043164142151127</v>
      </c>
      <c r="P48"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8"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8" s="184">
        <f>IF(Operations[[#This Row],[Calc List Price]]=0,0,IF(Operations[[#This Row],[Units per Hour]]*Operations[[#This Row],[Annual Use]]=0,0,(Operations[[#This Row],[Calc Beg Yr. Value]]-Operations[[#This Row],[Calc End Yr. Value]])/(Operations[[#This Row],[Annual Use]])))</f>
        <v>0.93257685297024362</v>
      </c>
      <c r="S48" s="185">
        <f>IF(Operations[[#This Row],[Annual Use]]=0,0,Operations[[#This Row],[Calc Beg Yr. Value]]*'General Variables'!$B$7/Operations[[#This Row],[Annual Use]])</f>
        <v>0.40167608658828713</v>
      </c>
      <c r="T48" s="185">
        <f>IF(Operations[[#This Row],[Annual Use]]=0,0,Operations[[#This Row],[Calc Beg Yr. Value]]*'General Variables'!$B$8/Operations[[#This Row],[Annual Use]])</f>
        <v>0.80335217317657426</v>
      </c>
      <c r="U48" s="185">
        <f>SUM(Operations[[#This Row],[Depreciation per Unit]:[Opportunity Cost per Unit]])</f>
        <v>2.137605112735105</v>
      </c>
      <c r="W48" s="191" t="s">
        <v>228</v>
      </c>
      <c r="X48" s="173" t="s">
        <v>217</v>
      </c>
      <c r="Y48" s="174">
        <v>0.03</v>
      </c>
      <c r="Z48" s="174">
        <v>1</v>
      </c>
      <c r="AA48" s="192"/>
    </row>
    <row r="49" spans="1:21" ht="12.75" customHeight="1">
      <c r="A49" s="204" t="s">
        <v>341</v>
      </c>
      <c r="B49" s="205" t="s">
        <v>83</v>
      </c>
      <c r="C49" s="206" t="s">
        <v>376</v>
      </c>
      <c r="D49" s="206" t="s">
        <v>390</v>
      </c>
      <c r="E49" s="216">
        <v>20000</v>
      </c>
      <c r="F49" s="208"/>
      <c r="G49" s="207">
        <v>5</v>
      </c>
      <c r="H49" s="207">
        <v>1000</v>
      </c>
      <c r="I49" s="214">
        <v>6</v>
      </c>
      <c r="J49" s="210">
        <v>1</v>
      </c>
      <c r="K49" s="206" t="s">
        <v>485</v>
      </c>
      <c r="L49" s="208">
        <v>5.332019704433498</v>
      </c>
      <c r="M49" s="211"/>
      <c r="N49"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20000</v>
      </c>
      <c r="O49"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1.1234343655493524</v>
      </c>
      <c r="P49"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8321.3391010098221</v>
      </c>
      <c r="Q49"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7726.6404123928287</v>
      </c>
      <c r="R49" s="184">
        <f>IF(Operations[[#This Row],[Calc List Price]]=0,0,IF(Operations[[#This Row],[Units per Hour]]*Operations[[#This Row],[Annual Use]]=0,0,(Operations[[#This Row],[Calc Beg Yr. Value]]-Operations[[#This Row],[Calc End Yr. Value]])/(Operations[[#This Row],[Annual Use]])))</f>
        <v>0.59469868861699338</v>
      </c>
      <c r="S49" s="185">
        <f>IF(Operations[[#This Row],[Annual Use]]=0,0,Operations[[#This Row],[Calc Beg Yr. Value]]*'General Variables'!$B$7/Operations[[#This Row],[Annual Use]])</f>
        <v>0.16642678202019645</v>
      </c>
      <c r="T49" s="185">
        <f>IF(Operations[[#This Row],[Annual Use]]=0,0,Operations[[#This Row],[Calc Beg Yr. Value]]*'General Variables'!$B$8/Operations[[#This Row],[Annual Use]])</f>
        <v>0.3328535640403929</v>
      </c>
      <c r="U49" s="185">
        <f>SUM(Operations[[#This Row],[Depreciation per Unit]:[Opportunity Cost per Unit]])</f>
        <v>1.0939790346775826</v>
      </c>
    </row>
    <row r="50" spans="1:21" ht="12.75" customHeight="1">
      <c r="A50" s="204" t="s">
        <v>342</v>
      </c>
      <c r="B50" s="205" t="s">
        <v>83</v>
      </c>
      <c r="C50" s="206" t="s">
        <v>382</v>
      </c>
      <c r="D50" s="206" t="s">
        <v>390</v>
      </c>
      <c r="E50" s="216">
        <v>40000</v>
      </c>
      <c r="F50" s="208"/>
      <c r="G50" s="207">
        <v>5</v>
      </c>
      <c r="H50" s="207">
        <v>1000</v>
      </c>
      <c r="I50" s="212">
        <v>5.3658536585365857</v>
      </c>
      <c r="J50" s="210">
        <v>1.1000000000000001</v>
      </c>
      <c r="K50" s="206" t="s">
        <v>289</v>
      </c>
      <c r="L50" s="208">
        <v>3.4073170731707321</v>
      </c>
      <c r="M50" s="211"/>
      <c r="N5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5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5.1481659282832997</v>
      </c>
      <c r="P5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50"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50" s="184">
        <f>IF(Operations[[#This Row],[Calc List Price]]=0,0,IF(Operations[[#This Row],[Units per Hour]]*Operations[[#This Row],[Annual Use]]=0,0,(Operations[[#This Row],[Calc Beg Yr. Value]]-Operations[[#This Row],[Calc End Yr. Value]])/(Operations[[#This Row],[Annual Use]])))</f>
        <v>1.1893973772339868</v>
      </c>
      <c r="S50" s="185">
        <f>IF(Operations[[#This Row],[Annual Use]]=0,0,Operations[[#This Row],[Calc Beg Yr. Value]]*'General Variables'!$B$7/Operations[[#This Row],[Annual Use]])</f>
        <v>0.3328535640403929</v>
      </c>
      <c r="T50" s="185">
        <f>IF(Operations[[#This Row],[Annual Use]]=0,0,Operations[[#This Row],[Calc Beg Yr. Value]]*'General Variables'!$B$8/Operations[[#This Row],[Annual Use]])</f>
        <v>0.6657071280807858</v>
      </c>
      <c r="U50" s="185">
        <f>SUM(Operations[[#This Row],[Depreciation per Unit]:[Opportunity Cost per Unit]])</f>
        <v>2.1879580693551652</v>
      </c>
    </row>
    <row r="51" spans="1:21" ht="12.75" customHeight="1">
      <c r="A51" s="204" t="s">
        <v>507</v>
      </c>
      <c r="B51" s="205" t="s">
        <v>83</v>
      </c>
      <c r="C51" s="206" t="s">
        <v>383</v>
      </c>
      <c r="D51" s="206" t="s">
        <v>390</v>
      </c>
      <c r="E51" s="207"/>
      <c r="F51" s="208">
        <v>1000</v>
      </c>
      <c r="G51" s="207">
        <v>15</v>
      </c>
      <c r="H51" s="207">
        <v>200</v>
      </c>
      <c r="I51" s="212">
        <v>15</v>
      </c>
      <c r="J51" s="210">
        <v>1</v>
      </c>
      <c r="K51" s="206" t="s">
        <v>289</v>
      </c>
      <c r="L51" s="208">
        <v>3</v>
      </c>
      <c r="M51" s="211"/>
      <c r="N5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4625.372477991923</v>
      </c>
      <c r="O5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3.129322795585799E-2</v>
      </c>
      <c r="P5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1000.0000000000001</v>
      </c>
      <c r="Q51"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940.80538739603514</v>
      </c>
      <c r="R51" s="184">
        <f>IF(Operations[[#This Row],[Calc List Price]]=0,0,IF(Operations[[#This Row],[Units per Hour]]*Operations[[#This Row],[Annual Use]]=0,0,(Operations[[#This Row],[Calc Beg Yr. Value]]-Operations[[#This Row],[Calc End Yr. Value]])/(Operations[[#This Row],[Annual Use]])))</f>
        <v>0.29597306301982484</v>
      </c>
      <c r="S51" s="185">
        <f>IF(Operations[[#This Row],[Annual Use]]=0,0,Operations[[#This Row],[Calc Beg Yr. Value]]*'General Variables'!$B$7/Operations[[#This Row],[Annual Use]])</f>
        <v>0.10000000000000002</v>
      </c>
      <c r="T51" s="185">
        <f>IF(Operations[[#This Row],[Annual Use]]=0,0,Operations[[#This Row],[Calc Beg Yr. Value]]*'General Variables'!$B$8/Operations[[#This Row],[Annual Use]])</f>
        <v>0.20000000000000004</v>
      </c>
      <c r="U51" s="185">
        <f>SUM(Operations[[#This Row],[Depreciation per Unit]:[Opportunity Cost per Unit]])</f>
        <v>0.59597306301982489</v>
      </c>
    </row>
    <row r="52" spans="1:21" ht="12.75" customHeight="1">
      <c r="A52" s="204" t="s">
        <v>343</v>
      </c>
      <c r="B52" s="205" t="s">
        <v>83</v>
      </c>
      <c r="C52" s="206" t="s">
        <v>383</v>
      </c>
      <c r="D52" s="206" t="s">
        <v>390</v>
      </c>
      <c r="E52" s="207"/>
      <c r="F52" s="208">
        <v>10000</v>
      </c>
      <c r="G52" s="207">
        <v>5</v>
      </c>
      <c r="H52" s="207">
        <v>1000</v>
      </c>
      <c r="I52" s="212">
        <v>13.200000000000001</v>
      </c>
      <c r="J52" s="210">
        <v>1</v>
      </c>
      <c r="K52" s="206" t="s">
        <v>289</v>
      </c>
      <c r="L52" s="208">
        <v>5.346000000000001</v>
      </c>
      <c r="M52" s="211"/>
      <c r="N5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24034.593179327272</v>
      </c>
      <c r="O5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0.3017940028018391</v>
      </c>
      <c r="P5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52"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9285.3329477405568</v>
      </c>
      <c r="R52" s="184">
        <f>IF(Operations[[#This Row],[Calc List Price]]=0,0,IF(Operations[[#This Row],[Units per Hour]]*Operations[[#This Row],[Annual Use]]=0,0,(Operations[[#This Row],[Calc Beg Yr. Value]]-Operations[[#This Row],[Calc End Yr. Value]])/(Operations[[#This Row],[Annual Use]])))</f>
        <v>0.71466705225944316</v>
      </c>
      <c r="S52" s="185">
        <f>IF(Operations[[#This Row],[Annual Use]]=0,0,Operations[[#This Row],[Calc Beg Yr. Value]]*'General Variables'!$B$7/Operations[[#This Row],[Annual Use]])</f>
        <v>0.2</v>
      </c>
      <c r="T52" s="185">
        <f>IF(Operations[[#This Row],[Annual Use]]=0,0,Operations[[#This Row],[Calc Beg Yr. Value]]*'General Variables'!$B$8/Operations[[#This Row],[Annual Use]])</f>
        <v>0.4</v>
      </c>
      <c r="U52" s="185">
        <f>SUM(Operations[[#This Row],[Depreciation per Unit]:[Opportunity Cost per Unit]])</f>
        <v>1.314667052259443</v>
      </c>
    </row>
    <row r="53" spans="1:21" ht="12.75" customHeight="1">
      <c r="A53" s="204" t="s">
        <v>344</v>
      </c>
      <c r="B53" s="205" t="s">
        <v>83</v>
      </c>
      <c r="C53" s="206" t="s">
        <v>374</v>
      </c>
      <c r="D53" s="206" t="s">
        <v>390</v>
      </c>
      <c r="E53" s="207"/>
      <c r="F53" s="208"/>
      <c r="G53" s="207">
        <v>5</v>
      </c>
      <c r="H53" s="207">
        <v>300</v>
      </c>
      <c r="I53" s="214">
        <v>9</v>
      </c>
      <c r="J53" s="210">
        <v>1</v>
      </c>
      <c r="K53" s="206" t="s">
        <v>485</v>
      </c>
      <c r="L53" s="208">
        <v>5.4586466165413539</v>
      </c>
      <c r="M53" s="211"/>
      <c r="N5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53" s="184">
        <f>IF(Operations[[#This Row],[Calc List Price]]=0,0,IF(Operations[[#This Row],[Units per Hour]]*Operations[[#This Row],[Annual Use]]=0,0,(Operations[[#This Row],[Calc Beg Yr. Value]]-Operations[[#This Row],[Calc End Yr. Value]])/(Operations[[#This Row],[Annual Use]])))</f>
        <v>0</v>
      </c>
      <c r="S53" s="185">
        <f>IF(Operations[[#This Row],[Annual Use]]=0,0,Operations[[#This Row],[Calc Beg Yr. Value]]*'General Variables'!$B$7/Operations[[#This Row],[Annual Use]])</f>
        <v>0</v>
      </c>
      <c r="T53" s="185">
        <f>IF(Operations[[#This Row],[Annual Use]]=0,0,Operations[[#This Row],[Calc Beg Yr. Value]]*'General Variables'!$B$8/Operations[[#This Row],[Annual Use]])</f>
        <v>0</v>
      </c>
      <c r="U53" s="185">
        <f>SUM(Operations[[#This Row],[Depreciation per Unit]:[Opportunity Cost per Unit]])</f>
        <v>0</v>
      </c>
    </row>
    <row r="54" spans="1:21" ht="12.75" customHeight="1">
      <c r="A54" s="204" t="s">
        <v>345</v>
      </c>
      <c r="B54" s="205" t="s">
        <v>83</v>
      </c>
      <c r="C54" s="206" t="s">
        <v>376</v>
      </c>
      <c r="D54" s="206" t="s">
        <v>390</v>
      </c>
      <c r="E54" s="207"/>
      <c r="F54" s="208">
        <v>5995</v>
      </c>
      <c r="G54" s="207">
        <v>5</v>
      </c>
      <c r="H54" s="207">
        <v>1000</v>
      </c>
      <c r="I54" s="214">
        <v>6</v>
      </c>
      <c r="J54" s="210">
        <v>1</v>
      </c>
      <c r="K54" s="206" t="s">
        <v>289</v>
      </c>
      <c r="L54" s="208">
        <v>3.0561576354679807</v>
      </c>
      <c r="M54" s="211"/>
      <c r="N5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14408.738611006698</v>
      </c>
      <c r="O5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0.80936360599113832</v>
      </c>
      <c r="P5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5995</v>
      </c>
      <c r="Q54"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5566.5571021704636</v>
      </c>
      <c r="R54" s="184">
        <f>IF(Operations[[#This Row],[Calc List Price]]=0,0,IF(Operations[[#This Row],[Units per Hour]]*Operations[[#This Row],[Annual Use]]=0,0,(Operations[[#This Row],[Calc Beg Yr. Value]]-Operations[[#This Row],[Calc End Yr. Value]])/(Operations[[#This Row],[Annual Use]])))</f>
        <v>0.42844289782953637</v>
      </c>
      <c r="S54" s="185">
        <f>IF(Operations[[#This Row],[Annual Use]]=0,0,Operations[[#This Row],[Calc Beg Yr. Value]]*'General Variables'!$B$7/Operations[[#This Row],[Annual Use]])</f>
        <v>0.11990000000000001</v>
      </c>
      <c r="T54" s="185">
        <f>IF(Operations[[#This Row],[Annual Use]]=0,0,Operations[[#This Row],[Calc Beg Yr. Value]]*'General Variables'!$B$8/Operations[[#This Row],[Annual Use]])</f>
        <v>0.23980000000000001</v>
      </c>
      <c r="U54" s="185">
        <f>SUM(Operations[[#This Row],[Depreciation per Unit]:[Opportunity Cost per Unit]])</f>
        <v>0.78814289782953639</v>
      </c>
    </row>
    <row r="55" spans="1:21" ht="12.75" customHeight="1">
      <c r="A55" s="204" t="s">
        <v>346</v>
      </c>
      <c r="B55" s="205" t="s">
        <v>83</v>
      </c>
      <c r="C55" s="205" t="s">
        <v>373</v>
      </c>
      <c r="D55" s="205" t="s">
        <v>392</v>
      </c>
      <c r="E55" s="216">
        <v>25000</v>
      </c>
      <c r="F55" s="208"/>
      <c r="G55" s="207">
        <v>5</v>
      </c>
      <c r="H55" s="207">
        <v>300</v>
      </c>
      <c r="I55" s="212">
        <v>4.907063197026023</v>
      </c>
      <c r="J55" s="210">
        <v>1.1000000000000001</v>
      </c>
      <c r="K55" s="206" t="s">
        <v>289</v>
      </c>
      <c r="L55" s="208">
        <v>4.2936802973977706</v>
      </c>
      <c r="M55" s="211"/>
      <c r="N5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5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1.032480829403865</v>
      </c>
      <c r="P5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12552.377705883975</v>
      </c>
      <c r="Q55"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11969.517172777571</v>
      </c>
      <c r="R55" s="184">
        <f>IF(Operations[[#This Row],[Calc List Price]]=0,0,IF(Operations[[#This Row],[Units per Hour]]*Operations[[#This Row],[Annual Use]]=0,0,(Operations[[#This Row],[Calc Beg Yr. Value]]-Operations[[#This Row],[Calc End Yr. Value]])/(Operations[[#This Row],[Annual Use]])))</f>
        <v>1.9428684436880153</v>
      </c>
      <c r="S55" s="185">
        <f>IF(Operations[[#This Row],[Annual Use]]=0,0,Operations[[#This Row],[Calc Beg Yr. Value]]*'General Variables'!$B$7/Operations[[#This Row],[Annual Use]])</f>
        <v>0.83682518039226506</v>
      </c>
      <c r="T55" s="185">
        <f>IF(Operations[[#This Row],[Annual Use]]=0,0,Operations[[#This Row],[Calc Beg Yr. Value]]*'General Variables'!$B$8/Operations[[#This Row],[Annual Use]])</f>
        <v>1.6736503607845301</v>
      </c>
      <c r="U55" s="185">
        <f>SUM(Operations[[#This Row],[Depreciation per Unit]:[Opportunity Cost per Unit]])</f>
        <v>4.4533439848648104</v>
      </c>
    </row>
    <row r="56" spans="1:21" ht="12.75" customHeight="1">
      <c r="A56" s="204" t="s">
        <v>347</v>
      </c>
      <c r="B56" s="205" t="s">
        <v>77</v>
      </c>
      <c r="C56" s="206" t="s">
        <v>384</v>
      </c>
      <c r="D56" s="206" t="s">
        <v>393</v>
      </c>
      <c r="E56" s="207">
        <v>23560</v>
      </c>
      <c r="F56" s="208"/>
      <c r="G56" s="207">
        <v>5</v>
      </c>
      <c r="H56" s="207">
        <v>1250</v>
      </c>
      <c r="I56" s="214">
        <v>3.92</v>
      </c>
      <c r="J56" s="210">
        <v>1</v>
      </c>
      <c r="K56" s="206" t="s">
        <v>485</v>
      </c>
      <c r="L56" s="208">
        <v>1.9051546391752581</v>
      </c>
      <c r="M56" s="211"/>
      <c r="N5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23560</v>
      </c>
      <c r="O5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3.8992675996909827</v>
      </c>
      <c r="P5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9237.234150216862</v>
      </c>
      <c r="Q56"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8612.1934877775147</v>
      </c>
      <c r="R56" s="184">
        <f>IF(Operations[[#This Row],[Calc List Price]]=0,0,IF(Operations[[#This Row],[Units per Hour]]*Operations[[#This Row],[Annual Use]]=0,0,(Operations[[#This Row],[Calc Beg Yr. Value]]-Operations[[#This Row],[Calc End Yr. Value]])/(Operations[[#This Row],[Annual Use]])))</f>
        <v>0.50003252995147773</v>
      </c>
      <c r="S56" s="185">
        <f>IF(Operations[[#This Row],[Annual Use]]=0,0,Operations[[#This Row],[Calc Beg Yr. Value]]*'General Variables'!$B$7/Operations[[#This Row],[Annual Use]])</f>
        <v>0.14779574640346979</v>
      </c>
      <c r="T56" s="185">
        <f>IF(Operations[[#This Row],[Annual Use]]=0,0,Operations[[#This Row],[Calc Beg Yr. Value]]*'General Variables'!$B$8/Operations[[#This Row],[Annual Use]])</f>
        <v>0.29559149280693958</v>
      </c>
      <c r="U56" s="185">
        <f>SUM(Operations[[#This Row],[Depreciation per Unit]:[Opportunity Cost per Unit]])</f>
        <v>0.94341976916188708</v>
      </c>
    </row>
    <row r="57" spans="1:21" ht="12.75" customHeight="1">
      <c r="A57" s="204" t="s">
        <v>66</v>
      </c>
      <c r="B57" s="205" t="s">
        <v>83</v>
      </c>
      <c r="C57" s="206" t="s">
        <v>385</v>
      </c>
      <c r="D57" s="206" t="s">
        <v>391</v>
      </c>
      <c r="E57" s="207">
        <v>10000</v>
      </c>
      <c r="F57" s="208"/>
      <c r="G57" s="207">
        <v>5</v>
      </c>
      <c r="H57" s="207">
        <v>2500</v>
      </c>
      <c r="I57" s="214">
        <v>22</v>
      </c>
      <c r="J57" s="210">
        <v>1.1000000000000001</v>
      </c>
      <c r="K57" s="206" t="s">
        <v>485</v>
      </c>
      <c r="L57" s="208">
        <v>2.64</v>
      </c>
      <c r="M57" s="211"/>
      <c r="N5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57"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0.21035006652839752</v>
      </c>
      <c r="P5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4827.4211318232892</v>
      </c>
      <c r="Q57"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4503.8412030731279</v>
      </c>
      <c r="R57" s="184">
        <f>IF(Operations[[#This Row],[Calc List Price]]=0,0,IF(Operations[[#This Row],[Units per Hour]]*Operations[[#This Row],[Annual Use]]=0,0,(Operations[[#This Row],[Calc Beg Yr. Value]]-Operations[[#This Row],[Calc End Yr. Value]])/(Operations[[#This Row],[Annual Use]])))</f>
        <v>0.12943197150006452</v>
      </c>
      <c r="S57" s="185">
        <f>IF(Operations[[#This Row],[Annual Use]]=0,0,Operations[[#This Row],[Calc Beg Yr. Value]]*'General Variables'!$B$7/Operations[[#This Row],[Annual Use]])</f>
        <v>3.8619369054586315E-2</v>
      </c>
      <c r="T57" s="185">
        <f>IF(Operations[[#This Row],[Annual Use]]=0,0,Operations[[#This Row],[Calc Beg Yr. Value]]*'General Variables'!$B$8/Operations[[#This Row],[Annual Use]])</f>
        <v>7.723873810917263E-2</v>
      </c>
      <c r="U57" s="185">
        <f>SUM(Operations[[#This Row],[Depreciation per Unit]:[Opportunity Cost per Unit]])</f>
        <v>0.24529007866382346</v>
      </c>
    </row>
    <row r="58" spans="1:21" ht="12.75" customHeight="1">
      <c r="A58" s="204" t="s">
        <v>476</v>
      </c>
      <c r="B58" s="205" t="s">
        <v>83</v>
      </c>
      <c r="C58" s="206" t="s">
        <v>385</v>
      </c>
      <c r="D58" s="206" t="s">
        <v>391</v>
      </c>
      <c r="E58" s="207">
        <v>20553</v>
      </c>
      <c r="F58" s="208"/>
      <c r="G58" s="207">
        <v>5</v>
      </c>
      <c r="H58" s="207">
        <v>2000</v>
      </c>
      <c r="I58" s="212">
        <v>66</v>
      </c>
      <c r="J58" s="210">
        <v>1.1000000000000001</v>
      </c>
      <c r="K58" s="206" t="s">
        <v>289</v>
      </c>
      <c r="L58" s="208">
        <v>0</v>
      </c>
      <c r="M58" s="211"/>
      <c r="N58"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8"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9.6936479002095524E-2</v>
      </c>
      <c r="P58"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8"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8" s="184">
        <f>IF(Operations[[#This Row],[Calc List Price]]=0,0,IF(Operations[[#This Row],[Units per Hour]]*Operations[[#This Row],[Annual Use]]=0,0,(Operations[[#This Row],[Calc Beg Yr. Value]]-Operations[[#This Row],[Calc End Yr. Value]])/(Operations[[#This Row],[Annual Use]])))</f>
        <v>0.33252691378010329</v>
      </c>
      <c r="S58" s="185">
        <f>IF(Operations[[#This Row],[Annual Use]]=0,0,Operations[[#This Row],[Calc Beg Yr. Value]]*'General Variables'!$B$7/Operations[[#This Row],[Annual Use]])</f>
        <v>9.9217986522364077E-2</v>
      </c>
      <c r="T58" s="185">
        <f>IF(Operations[[#This Row],[Annual Use]]=0,0,Operations[[#This Row],[Calc Beg Yr. Value]]*'General Variables'!$B$8/Operations[[#This Row],[Annual Use]])</f>
        <v>0.19843597304472815</v>
      </c>
      <c r="U58" s="185">
        <f>SUM(Operations[[#This Row],[Depreciation per Unit]:[Opportunity Cost per Unit]])</f>
        <v>0.63018087334719552</v>
      </c>
    </row>
    <row r="59" spans="1:21" ht="12.75" customHeight="1">
      <c r="A59" s="204" t="s">
        <v>348</v>
      </c>
      <c r="B59" s="205" t="s">
        <v>83</v>
      </c>
      <c r="C59" s="206" t="s">
        <v>386</v>
      </c>
      <c r="D59" s="206" t="s">
        <v>391</v>
      </c>
      <c r="E59" s="207">
        <v>20553</v>
      </c>
      <c r="F59" s="208"/>
      <c r="G59" s="207">
        <v>5</v>
      </c>
      <c r="H59" s="207">
        <v>1000</v>
      </c>
      <c r="I59" s="212">
        <v>13.469387755102042</v>
      </c>
      <c r="J59" s="210">
        <v>1.1000000000000001</v>
      </c>
      <c r="K59" s="206" t="s">
        <v>289</v>
      </c>
      <c r="L59" s="208">
        <v>1.6836734693877553</v>
      </c>
      <c r="M59" s="211"/>
      <c r="N59"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9"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0.28519535857044664</v>
      </c>
      <c r="P59"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9"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9" s="184">
        <f>IF(Operations[[#This Row],[Calc List Price]]=0,0,IF(Operations[[#This Row],[Units per Hour]]*Operations[[#This Row],[Annual Use]]=0,0,(Operations[[#This Row],[Calc Beg Yr. Value]]-Operations[[#This Row],[Calc End Yr. Value]])/(Operations[[#This Row],[Annual Use]])))</f>
        <v>0.66505382756020659</v>
      </c>
      <c r="S59" s="185">
        <f>IF(Operations[[#This Row],[Annual Use]]=0,0,Operations[[#This Row],[Calc Beg Yr. Value]]*'General Variables'!$B$7/Operations[[#This Row],[Annual Use]])</f>
        <v>0.19843597304472815</v>
      </c>
      <c r="T59" s="185">
        <f>IF(Operations[[#This Row],[Annual Use]]=0,0,Operations[[#This Row],[Calc Beg Yr. Value]]*'General Variables'!$B$8/Operations[[#This Row],[Annual Use]])</f>
        <v>0.39687194608945631</v>
      </c>
      <c r="U59" s="185">
        <f>SUM(Operations[[#This Row],[Depreciation per Unit]:[Opportunity Cost per Unit]])</f>
        <v>1.260361746694391</v>
      </c>
    </row>
    <row r="60" spans="1:21" ht="12.75" customHeight="1">
      <c r="A60" s="204" t="s">
        <v>349</v>
      </c>
      <c r="B60" s="205" t="s">
        <v>3</v>
      </c>
      <c r="C60" s="205" t="s">
        <v>387</v>
      </c>
      <c r="D60" s="205" t="s">
        <v>391</v>
      </c>
      <c r="E60" s="207"/>
      <c r="F60" s="208">
        <v>10800</v>
      </c>
      <c r="G60" s="207">
        <v>5</v>
      </c>
      <c r="H60" s="207">
        <v>100</v>
      </c>
      <c r="I60" s="212">
        <v>10</v>
      </c>
      <c r="J60" s="210">
        <v>1.25</v>
      </c>
      <c r="K60" s="206" t="s">
        <v>289</v>
      </c>
      <c r="L60" s="208" t="s">
        <v>431</v>
      </c>
      <c r="M60" s="211"/>
      <c r="N6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22372.193568952007</v>
      </c>
      <c r="O6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0.76731801951719492</v>
      </c>
      <c r="P6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10800</v>
      </c>
      <c r="Q60"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10076.080719897371</v>
      </c>
      <c r="R60" s="184">
        <f>IF(Operations[[#This Row],[Calc List Price]]=0,0,IF(Operations[[#This Row],[Units per Hour]]*Operations[[#This Row],[Annual Use]]=0,0,(Operations[[#This Row],[Calc Beg Yr. Value]]-Operations[[#This Row],[Calc End Yr. Value]])/(Operations[[#This Row],[Annual Use]])))</f>
        <v>7.2391928010262925</v>
      </c>
      <c r="S60" s="185">
        <f>IF(Operations[[#This Row],[Annual Use]]=0,0,Operations[[#This Row],[Calc Beg Yr. Value]]*'General Variables'!$B$7/Operations[[#This Row],[Annual Use]])</f>
        <v>2.16</v>
      </c>
      <c r="T60" s="185">
        <f>IF(Operations[[#This Row],[Annual Use]]=0,0,Operations[[#This Row],[Calc Beg Yr. Value]]*'General Variables'!$B$8/Operations[[#This Row],[Annual Use]])</f>
        <v>4.32</v>
      </c>
      <c r="U60" s="185">
        <f>SUM(Operations[[#This Row],[Depreciation per Unit]:[Opportunity Cost per Unit]])</f>
        <v>13.719192801026292</v>
      </c>
    </row>
    <row r="61" spans="1:21" ht="12.75" customHeight="1">
      <c r="A61" s="204" t="s">
        <v>350</v>
      </c>
      <c r="B61" s="205" t="s">
        <v>83</v>
      </c>
      <c r="C61" s="205" t="s">
        <v>387</v>
      </c>
      <c r="D61" s="205" t="s">
        <v>391</v>
      </c>
      <c r="E61" s="207"/>
      <c r="F61" s="219"/>
      <c r="G61" s="207">
        <v>5</v>
      </c>
      <c r="H61" s="207">
        <v>1000</v>
      </c>
      <c r="I61" s="214">
        <v>12.7</v>
      </c>
      <c r="J61" s="210">
        <v>1</v>
      </c>
      <c r="K61" s="206" t="s">
        <v>485</v>
      </c>
      <c r="L61" s="208">
        <v>3.8617021276595755</v>
      </c>
      <c r="M61" s="211"/>
      <c r="N6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1"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1" s="184">
        <f>IF(Operations[[#This Row],[Calc List Price]]=0,0,IF(Operations[[#This Row],[Units per Hour]]*Operations[[#This Row],[Annual Use]]=0,0,(Operations[[#This Row],[Calc Beg Yr. Value]]-Operations[[#This Row],[Calc End Yr. Value]])/(Operations[[#This Row],[Annual Use]])))</f>
        <v>0</v>
      </c>
      <c r="S61" s="185">
        <f>IF(Operations[[#This Row],[Annual Use]]=0,0,Operations[[#This Row],[Calc Beg Yr. Value]]*'General Variables'!$B$7/Operations[[#This Row],[Annual Use]])</f>
        <v>0</v>
      </c>
      <c r="T61" s="185">
        <f>IF(Operations[[#This Row],[Annual Use]]=0,0,Operations[[#This Row],[Calc Beg Yr. Value]]*'General Variables'!$B$8/Operations[[#This Row],[Annual Use]])</f>
        <v>0</v>
      </c>
      <c r="U61" s="185">
        <f>SUM(Operations[[#This Row],[Depreciation per Unit]:[Opportunity Cost per Unit]])</f>
        <v>0</v>
      </c>
    </row>
    <row r="62" spans="1:21" ht="12.75" customHeight="1">
      <c r="A62" s="204" t="s">
        <v>351</v>
      </c>
      <c r="B62" s="205" t="s">
        <v>76</v>
      </c>
      <c r="C62" s="206"/>
      <c r="D62" s="206" t="s">
        <v>363</v>
      </c>
      <c r="E62" s="207">
        <v>12725</v>
      </c>
      <c r="F62" s="208"/>
      <c r="G62" s="207">
        <v>5</v>
      </c>
      <c r="H62" s="207">
        <v>1250</v>
      </c>
      <c r="I62" s="214">
        <v>3.13</v>
      </c>
      <c r="J62" s="210">
        <v>1</v>
      </c>
      <c r="K62" s="206" t="s">
        <v>485</v>
      </c>
      <c r="L62" s="208">
        <v>1.7584507042253523</v>
      </c>
      <c r="M62" s="211"/>
      <c r="N6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6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62"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62" s="184">
        <f>IF(Operations[[#This Row],[Calc List Price]]=0,0,IF(Operations[[#This Row],[Units per Hour]]*Operations[[#This Row],[Annual Use]]=0,0,(Operations[[#This Row],[Calc Beg Yr. Value]]-Operations[[#This Row],[Calc End Yr. Value]])/(Operations[[#This Row],[Annual Use]])))</f>
        <v>0.22847609408854333</v>
      </c>
      <c r="S62" s="185">
        <f>IF(Operations[[#This Row],[Annual Use]]=0,0,Operations[[#This Row],[Calc Beg Yr. Value]]*'General Variables'!$B$7/Operations[[#This Row],[Annual Use]])</f>
        <v>7.0278074219198516E-2</v>
      </c>
      <c r="T62" s="185">
        <f>IF(Operations[[#This Row],[Annual Use]]=0,0,Operations[[#This Row],[Calc Beg Yr. Value]]*'General Variables'!$B$8/Operations[[#This Row],[Annual Use]])</f>
        <v>0.14055614843839703</v>
      </c>
      <c r="U62" s="185">
        <f>SUM(Operations[[#This Row],[Depreciation per Unit]:[Opportunity Cost per Unit]])</f>
        <v>0.43931031674613885</v>
      </c>
    </row>
    <row r="63" spans="1:21" ht="12.75" customHeight="1">
      <c r="A63" s="204" t="s">
        <v>352</v>
      </c>
      <c r="B63" s="205" t="s">
        <v>83</v>
      </c>
      <c r="C63" s="206" t="s">
        <v>367</v>
      </c>
      <c r="D63" s="206" t="s">
        <v>390</v>
      </c>
      <c r="E63" s="207">
        <v>11193</v>
      </c>
      <c r="F63" s="208"/>
      <c r="G63" s="207">
        <v>5</v>
      </c>
      <c r="H63" s="207">
        <v>500</v>
      </c>
      <c r="I63" s="212">
        <v>8.25</v>
      </c>
      <c r="J63" s="210">
        <v>1</v>
      </c>
      <c r="K63" s="206" t="s">
        <v>289</v>
      </c>
      <c r="L63" s="208">
        <v>8.25</v>
      </c>
      <c r="M63" s="211"/>
      <c r="N6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11193</v>
      </c>
      <c r="O6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0.34259914950090847</v>
      </c>
      <c r="P6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4657.0374278801473</v>
      </c>
      <c r="Q63"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4324.2143067956467</v>
      </c>
      <c r="R63" s="184">
        <f>IF(Operations[[#This Row],[Calc List Price]]=0,0,IF(Operations[[#This Row],[Units per Hour]]*Operations[[#This Row],[Annual Use]]=0,0,(Operations[[#This Row],[Calc Beg Yr. Value]]-Operations[[#This Row],[Calc End Yr. Value]])/(Operations[[#This Row],[Annual Use]])))</f>
        <v>0.66564624216900115</v>
      </c>
      <c r="S63" s="185">
        <f>IF(Operations[[#This Row],[Annual Use]]=0,0,Operations[[#This Row],[Calc Beg Yr. Value]]*'General Variables'!$B$7/Operations[[#This Row],[Annual Use]])</f>
        <v>0.18628149711520589</v>
      </c>
      <c r="T63" s="185">
        <f>IF(Operations[[#This Row],[Annual Use]]=0,0,Operations[[#This Row],[Calc Beg Yr. Value]]*'General Variables'!$B$8/Operations[[#This Row],[Annual Use]])</f>
        <v>0.37256299423041178</v>
      </c>
      <c r="U63" s="185">
        <f>SUM(Operations[[#This Row],[Depreciation per Unit]:[Opportunity Cost per Unit]])</f>
        <v>1.2244907335146189</v>
      </c>
    </row>
    <row r="64" spans="1:21" ht="12.75" customHeight="1">
      <c r="A64" s="204" t="s">
        <v>353</v>
      </c>
      <c r="B64" s="205" t="s">
        <v>83</v>
      </c>
      <c r="C64" s="206" t="s">
        <v>388</v>
      </c>
      <c r="D64" s="206" t="s">
        <v>363</v>
      </c>
      <c r="E64" s="207"/>
      <c r="F64" s="208"/>
      <c r="G64" s="207">
        <v>5</v>
      </c>
      <c r="H64" s="207">
        <v>500</v>
      </c>
      <c r="I64" s="214">
        <v>8.0500000000000007</v>
      </c>
      <c r="J64" s="210">
        <v>1</v>
      </c>
      <c r="K64" s="206" t="s">
        <v>361</v>
      </c>
      <c r="L64" s="208">
        <v>5</v>
      </c>
      <c r="M64" s="211"/>
      <c r="N6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4" s="184">
        <f>IF(Operations[[#This Row],[Calc List Price]]=0,0,IF(Operations[[#This Row],[Units per Hour]]*Operations[[#This Row],[Annual Use]]=0,0,(Operations[[#This Row],[Calc Beg Yr. Value]]-Operations[[#This Row],[Calc End Yr. Value]])/(Operations[[#This Row],[Annual Use]])))</f>
        <v>0</v>
      </c>
      <c r="S64" s="185">
        <f>IF(Operations[[#This Row],[Annual Use]]=0,0,Operations[[#This Row],[Calc Beg Yr. Value]]*'General Variables'!$B$7/Operations[[#This Row],[Annual Use]])</f>
        <v>0</v>
      </c>
      <c r="T64" s="185">
        <f>IF(Operations[[#This Row],[Annual Use]]=0,0,Operations[[#This Row],[Calc Beg Yr. Value]]*'General Variables'!$B$8/Operations[[#This Row],[Annual Use]])</f>
        <v>0</v>
      </c>
      <c r="U64" s="185">
        <f>SUM(Operations[[#This Row],[Depreciation per Unit]:[Opportunity Cost per Unit]])</f>
        <v>0</v>
      </c>
    </row>
    <row r="65" spans="1:21" ht="12.75" customHeight="1">
      <c r="A65" s="204" t="s">
        <v>354</v>
      </c>
      <c r="B65" s="205" t="s">
        <v>83</v>
      </c>
      <c r="C65" s="206" t="s">
        <v>382</v>
      </c>
      <c r="D65" s="206" t="s">
        <v>392</v>
      </c>
      <c r="E65" s="217">
        <v>50000</v>
      </c>
      <c r="F65" s="208"/>
      <c r="G65" s="207">
        <v>5</v>
      </c>
      <c r="H65" s="207">
        <v>300</v>
      </c>
      <c r="I65" s="212">
        <v>7.1739130434782608</v>
      </c>
      <c r="J65" s="210">
        <v>1.1000000000000001</v>
      </c>
      <c r="K65" s="206" t="s">
        <v>289</v>
      </c>
      <c r="L65" s="208">
        <v>9.1108695652173921</v>
      </c>
      <c r="M65" s="211"/>
      <c r="N6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0.93014280848977615</v>
      </c>
      <c r="P6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25104.75541176795</v>
      </c>
      <c r="Q65"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23939.034345555141</v>
      </c>
      <c r="R65" s="184">
        <f>IF(Operations[[#This Row],[Calc List Price]]=0,0,IF(Operations[[#This Row],[Units per Hour]]*Operations[[#This Row],[Annual Use]]=0,0,(Operations[[#This Row],[Calc Beg Yr. Value]]-Operations[[#This Row],[Calc End Yr. Value]])/(Operations[[#This Row],[Annual Use]])))</f>
        <v>3.8857368873760305</v>
      </c>
      <c r="S65" s="185">
        <f>IF(Operations[[#This Row],[Annual Use]]=0,0,Operations[[#This Row],[Calc Beg Yr. Value]]*'General Variables'!$B$7/Operations[[#This Row],[Annual Use]])</f>
        <v>1.6736503607845301</v>
      </c>
      <c r="T65" s="185">
        <f>IF(Operations[[#This Row],[Annual Use]]=0,0,Operations[[#This Row],[Calc Beg Yr. Value]]*'General Variables'!$B$8/Operations[[#This Row],[Annual Use]])</f>
        <v>3.3473007215690602</v>
      </c>
      <c r="U65" s="185">
        <f>SUM(Operations[[#This Row],[Depreciation per Unit]:[Opportunity Cost per Unit]])</f>
        <v>8.9066879697296208</v>
      </c>
    </row>
    <row r="66" spans="1:21" ht="12.75" customHeight="1">
      <c r="A66" s="204" t="s">
        <v>355</v>
      </c>
      <c r="B66" s="205" t="s">
        <v>83</v>
      </c>
      <c r="C66" s="206" t="s">
        <v>389</v>
      </c>
      <c r="D66" s="206" t="s">
        <v>363</v>
      </c>
      <c r="E66" s="207"/>
      <c r="F66" s="219">
        <v>10000</v>
      </c>
      <c r="G66" s="207">
        <v>5</v>
      </c>
      <c r="H66" s="207">
        <v>300</v>
      </c>
      <c r="I66" s="212">
        <v>5.7894736842105274</v>
      </c>
      <c r="J66" s="210">
        <v>1</v>
      </c>
      <c r="K66" s="206" t="s">
        <v>289</v>
      </c>
      <c r="L66" s="208">
        <v>3.936842105263159</v>
      </c>
      <c r="M66" s="211"/>
      <c r="N6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28970.628786009151</v>
      </c>
      <c r="O6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1.1868586745357574</v>
      </c>
      <c r="P6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66"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9349.7940954502483</v>
      </c>
      <c r="R66" s="184">
        <f>IF(Operations[[#This Row],[Calc List Price]]=0,0,IF(Operations[[#This Row],[Units per Hour]]*Operations[[#This Row],[Annual Use]]=0,0,(Operations[[#This Row],[Calc Beg Yr. Value]]-Operations[[#This Row],[Calc End Yr. Value]])/(Operations[[#This Row],[Annual Use]])))</f>
        <v>2.1673530151658391</v>
      </c>
      <c r="S66" s="185">
        <f>IF(Operations[[#This Row],[Annual Use]]=0,0,Operations[[#This Row],[Calc Beg Yr. Value]]*'General Variables'!$B$7/Operations[[#This Row],[Annual Use]])</f>
        <v>0.66666666666666663</v>
      </c>
      <c r="T66" s="185">
        <f>IF(Operations[[#This Row],[Annual Use]]=0,0,Operations[[#This Row],[Calc Beg Yr. Value]]*'General Variables'!$B$8/Operations[[#This Row],[Annual Use]])</f>
        <v>1.3333333333333333</v>
      </c>
      <c r="U66" s="185">
        <f>SUM(Operations[[#This Row],[Depreciation per Unit]:[Opportunity Cost per Unit]])</f>
        <v>4.1673530151658387</v>
      </c>
    </row>
    <row r="67" spans="1:21" ht="12.75" customHeight="1">
      <c r="A67" s="204" t="s">
        <v>356</v>
      </c>
      <c r="B67" s="205" t="s">
        <v>3</v>
      </c>
      <c r="C67" s="205"/>
      <c r="D67" s="205"/>
      <c r="E67" s="207"/>
      <c r="F67" s="208"/>
      <c r="G67" s="207">
        <v>5</v>
      </c>
      <c r="H67" s="207"/>
      <c r="I67" s="212" t="s">
        <v>431</v>
      </c>
      <c r="J67" s="210"/>
      <c r="K67" s="206" t="s">
        <v>289</v>
      </c>
      <c r="L67" s="208" t="s">
        <v>431</v>
      </c>
      <c r="M67" s="211"/>
      <c r="N6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7"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7"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7" s="184">
        <f>IF(Operations[[#This Row],[Calc List Price]]=0,0,IF(Operations[[#This Row],[Units per Hour]]*Operations[[#This Row],[Annual Use]]=0,0,(Operations[[#This Row],[Calc Beg Yr. Value]]-Operations[[#This Row],[Calc End Yr. Value]])/(Operations[[#This Row],[Annual Use]])))</f>
        <v>0</v>
      </c>
      <c r="S67" s="185">
        <f>IF(Operations[[#This Row],[Annual Use]]=0,0,Operations[[#This Row],[Calc Beg Yr. Value]]*'General Variables'!$B$7/Operations[[#This Row],[Annual Use]])</f>
        <v>0</v>
      </c>
      <c r="T67" s="185">
        <f>IF(Operations[[#This Row],[Annual Use]]=0,0,Operations[[#This Row],[Calc Beg Yr. Value]]*'General Variables'!$B$8/Operations[[#This Row],[Annual Use]])</f>
        <v>0</v>
      </c>
      <c r="U67" s="185">
        <f>SUM(Operations[[#This Row],[Depreciation per Unit]:[Opportunity Cost per Unit]])</f>
        <v>0</v>
      </c>
    </row>
    <row r="68" spans="1:21" ht="12.75" customHeight="1">
      <c r="A68" s="204" t="s">
        <v>357</v>
      </c>
      <c r="B68" s="205" t="s">
        <v>83</v>
      </c>
      <c r="C68" s="206" t="s">
        <v>372</v>
      </c>
      <c r="D68" s="206" t="s">
        <v>363</v>
      </c>
      <c r="E68" s="207">
        <v>17850</v>
      </c>
      <c r="F68" s="208"/>
      <c r="G68" s="207">
        <v>5</v>
      </c>
      <c r="H68" s="207">
        <v>300</v>
      </c>
      <c r="I68" s="214">
        <v>11.4</v>
      </c>
      <c r="J68" s="210">
        <v>1</v>
      </c>
      <c r="K68" s="206" t="s">
        <v>485</v>
      </c>
      <c r="L68" s="208">
        <v>2.0971962616822433</v>
      </c>
      <c r="M68" s="211"/>
      <c r="N68"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17850</v>
      </c>
      <c r="O68"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0.17194839384699867</v>
      </c>
      <c r="P68"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6161.4126955436814</v>
      </c>
      <c r="Q68" s="167">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5760.7940040426511</v>
      </c>
      <c r="R68" s="184">
        <f>IF(Operations[[#This Row],[Calc List Price]]=0,0,IF(Operations[[#This Row],[Units per Hour]]*Operations[[#This Row],[Annual Use]]=0,0,(Operations[[#This Row],[Calc Beg Yr. Value]]-Operations[[#This Row],[Calc End Yr. Value]])/(Operations[[#This Row],[Annual Use]])))</f>
        <v>1.3353956383367676</v>
      </c>
      <c r="S68" s="185">
        <f>IF(Operations[[#This Row],[Annual Use]]=0,0,Operations[[#This Row],[Calc Beg Yr. Value]]*'General Variables'!$B$7/Operations[[#This Row],[Annual Use]])</f>
        <v>0.41076084636957877</v>
      </c>
      <c r="T68" s="185">
        <f>IF(Operations[[#This Row],[Annual Use]]=0,0,Operations[[#This Row],[Calc Beg Yr. Value]]*'General Variables'!$B$8/Operations[[#This Row],[Annual Use]])</f>
        <v>0.82152169273915754</v>
      </c>
      <c r="U68" s="185">
        <f>SUM(Operations[[#This Row],[Depreciation per Unit]:[Opportunity Cost per Unit]])</f>
        <v>2.5676781774455035</v>
      </c>
    </row>
    <row r="69" spans="1:21" ht="12.75" customHeight="1">
      <c r="A69" s="204" t="s">
        <v>358</v>
      </c>
      <c r="B69" s="205" t="s">
        <v>3</v>
      </c>
      <c r="C69" s="205"/>
      <c r="D69" s="205"/>
      <c r="E69" s="207"/>
      <c r="F69" s="208"/>
      <c r="G69" s="207">
        <v>5</v>
      </c>
      <c r="H69" s="207"/>
      <c r="I69" s="212" t="s">
        <v>431</v>
      </c>
      <c r="J69" s="210"/>
      <c r="K69" s="206"/>
      <c r="L69" s="208" t="s">
        <v>431</v>
      </c>
      <c r="M69" s="211"/>
      <c r="N69"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9"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9"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9"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9" s="184">
        <f>IF(Operations[[#This Row],[Calc List Price]]=0,0,IF(Operations[[#This Row],[Units per Hour]]*Operations[[#This Row],[Annual Use]]=0,0,(Operations[[#This Row],[Calc Beg Yr. Value]]-Operations[[#This Row],[Calc End Yr. Value]])/(Operations[[#This Row],[Annual Use]])))</f>
        <v>0</v>
      </c>
      <c r="S69" s="185">
        <f>IF(Operations[[#This Row],[Annual Use]]=0,0,Operations[[#This Row],[Calc Beg Yr. Value]]*'General Variables'!$B$7/Operations[[#This Row],[Annual Use]])</f>
        <v>0</v>
      </c>
      <c r="T69" s="185">
        <f>IF(Operations[[#This Row],[Annual Use]]=0,0,Operations[[#This Row],[Calc Beg Yr. Value]]*'General Variables'!$B$8/Operations[[#This Row],[Annual Use]])</f>
        <v>0</v>
      </c>
      <c r="U69" s="185">
        <f>SUM(Operations[[#This Row],[Depreciation per Unit]:[Opportunity Cost per Unit]])</f>
        <v>0</v>
      </c>
    </row>
    <row r="70" spans="1:21" ht="12.75" customHeight="1">
      <c r="A70" s="204" t="s">
        <v>359</v>
      </c>
      <c r="B70" s="205" t="s">
        <v>83</v>
      </c>
      <c r="C70" s="206" t="s">
        <v>388</v>
      </c>
      <c r="D70" s="206" t="s">
        <v>363</v>
      </c>
      <c r="E70" s="207"/>
      <c r="F70" s="208"/>
      <c r="G70" s="207">
        <v>5</v>
      </c>
      <c r="H70" s="207">
        <v>200</v>
      </c>
      <c r="I70" s="212">
        <v>9.4964028776978431</v>
      </c>
      <c r="J70" s="210">
        <v>1</v>
      </c>
      <c r="K70" s="206" t="s">
        <v>361</v>
      </c>
      <c r="L70" s="208">
        <v>3.2762589928057557</v>
      </c>
      <c r="M70" s="211"/>
      <c r="N7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0" s="184">
        <f>IF(Operations[[#This Row],[Calc List Price]]=0,0,IF(Operations[[#This Row],[Units per Hour]]*Operations[[#This Row],[Annual Use]]=0,0,(Operations[[#This Row],[Calc Beg Yr. Value]]-Operations[[#This Row],[Calc End Yr. Value]])/(Operations[[#This Row],[Annual Use]])))</f>
        <v>0</v>
      </c>
      <c r="S70" s="185">
        <f>IF(Operations[[#This Row],[Annual Use]]=0,0,Operations[[#This Row],[Calc Beg Yr. Value]]*'General Variables'!$B$7/Operations[[#This Row],[Annual Use]])</f>
        <v>0</v>
      </c>
      <c r="T70" s="185">
        <f>IF(Operations[[#This Row],[Annual Use]]=0,0,Operations[[#This Row],[Calc Beg Yr. Value]]*'General Variables'!$B$8/Operations[[#This Row],[Annual Use]])</f>
        <v>0</v>
      </c>
      <c r="U70" s="185">
        <f>SUM(Operations[[#This Row],[Depreciation per Unit]:[Opportunity Cost per Unit]])</f>
        <v>0</v>
      </c>
    </row>
    <row r="71" spans="1:21" ht="12.75" customHeight="1">
      <c r="A71" s="204"/>
      <c r="B71" s="205"/>
      <c r="C71" s="206"/>
      <c r="D71" s="206"/>
      <c r="E71" s="207"/>
      <c r="F71" s="208"/>
      <c r="G71" s="207"/>
      <c r="H71" s="207"/>
      <c r="I71" s="209"/>
      <c r="J71" s="210"/>
      <c r="K71" s="206"/>
      <c r="L71" s="208"/>
      <c r="M71" s="211"/>
      <c r="N7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1"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1" s="184">
        <f>IF(Operations[[#This Row],[Calc List Price]]=0,0,IF(Operations[[#This Row],[Units per Hour]]*Operations[[#This Row],[Annual Use]]=0,0,(Operations[[#This Row],[Calc Beg Yr. Value]]-Operations[[#This Row],[Calc End Yr. Value]])/(Operations[[#This Row],[Annual Use]])))</f>
        <v>0</v>
      </c>
      <c r="S71" s="185">
        <f>IF(Operations[[#This Row],[Annual Use]]=0,0,Operations[[#This Row],[Calc Beg Yr. Value]]*'General Variables'!$B$7/Operations[[#This Row],[Annual Use]])</f>
        <v>0</v>
      </c>
      <c r="T71" s="185">
        <f>IF(Operations[[#This Row],[Annual Use]]=0,0,Operations[[#This Row],[Calc Beg Yr. Value]]*'General Variables'!$B$8/Operations[[#This Row],[Annual Use]])</f>
        <v>0</v>
      </c>
      <c r="U71" s="185">
        <f>SUM(Operations[[#This Row],[Depreciation per Unit]:[Opportunity Cost per Unit]])</f>
        <v>0</v>
      </c>
    </row>
    <row r="72" spans="1:21" ht="12.75" customHeight="1">
      <c r="A72" s="221"/>
      <c r="B72" s="222"/>
      <c r="C72" s="223"/>
      <c r="D72" s="223"/>
      <c r="E72" s="207"/>
      <c r="F72" s="208"/>
      <c r="G72" s="207"/>
      <c r="H72" s="207"/>
      <c r="I72" s="209"/>
      <c r="J72" s="210"/>
      <c r="K72" s="223"/>
      <c r="L72" s="208"/>
      <c r="M72" s="211"/>
      <c r="N7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2"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2" s="184">
        <f>IF(Operations[[#This Row],[Calc List Price]]=0,0,IF(Operations[[#This Row],[Units per Hour]]*Operations[[#This Row],[Annual Use]]=0,0,(Operations[[#This Row],[Calc Beg Yr. Value]]-Operations[[#This Row],[Calc End Yr. Value]])/(Operations[[#This Row],[Annual Use]])))</f>
        <v>0</v>
      </c>
      <c r="S72" s="185">
        <f>IF(Operations[[#This Row],[Annual Use]]=0,0,Operations[[#This Row],[Calc Beg Yr. Value]]*'General Variables'!$B$7/Operations[[#This Row],[Annual Use]])</f>
        <v>0</v>
      </c>
      <c r="T72" s="185">
        <f>IF(Operations[[#This Row],[Annual Use]]=0,0,Operations[[#This Row],[Calc Beg Yr. Value]]*'General Variables'!$B$8/Operations[[#This Row],[Annual Use]])</f>
        <v>0</v>
      </c>
      <c r="U72" s="185">
        <f>SUM(Operations[[#This Row],[Depreciation per Unit]:[Opportunity Cost per Unit]])</f>
        <v>0</v>
      </c>
    </row>
    <row r="73" spans="1:21" ht="12.75" customHeight="1">
      <c r="A73" s="221"/>
      <c r="B73" s="222"/>
      <c r="C73" s="223"/>
      <c r="D73" s="223"/>
      <c r="E73" s="207"/>
      <c r="F73" s="208"/>
      <c r="G73" s="207"/>
      <c r="H73" s="207"/>
      <c r="I73" s="209"/>
      <c r="J73" s="210"/>
      <c r="K73" s="223"/>
      <c r="L73" s="208"/>
      <c r="M73" s="211"/>
      <c r="N7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3"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3" s="184">
        <f>IF(Operations[[#This Row],[Calc List Price]]=0,0,IF(Operations[[#This Row],[Units per Hour]]*Operations[[#This Row],[Annual Use]]=0,0,(Operations[[#This Row],[Calc Beg Yr. Value]]-Operations[[#This Row],[Calc End Yr. Value]])/(Operations[[#This Row],[Annual Use]])))</f>
        <v>0</v>
      </c>
      <c r="S73" s="185">
        <f>IF(Operations[[#This Row],[Annual Use]]=0,0,Operations[[#This Row],[Calc Beg Yr. Value]]*'General Variables'!$B$7/Operations[[#This Row],[Annual Use]])</f>
        <v>0</v>
      </c>
      <c r="T73" s="185">
        <f>IF(Operations[[#This Row],[Annual Use]]=0,0,Operations[[#This Row],[Calc Beg Yr. Value]]*'General Variables'!$B$8/Operations[[#This Row],[Annual Use]])</f>
        <v>0</v>
      </c>
      <c r="U73" s="185">
        <f>SUM(Operations[[#This Row],[Depreciation per Unit]:[Opportunity Cost per Unit]])</f>
        <v>0</v>
      </c>
    </row>
    <row r="74" spans="1:21" ht="12.75" customHeight="1">
      <c r="A74" s="221"/>
      <c r="B74" s="222"/>
      <c r="C74" s="223"/>
      <c r="D74" s="223"/>
      <c r="E74" s="207"/>
      <c r="F74" s="208"/>
      <c r="G74" s="207"/>
      <c r="H74" s="207"/>
      <c r="I74" s="209"/>
      <c r="J74" s="210"/>
      <c r="K74" s="223"/>
      <c r="L74" s="208"/>
      <c r="M74" s="211"/>
      <c r="N7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4" s="184">
        <f>IF(Operations[[#This Row],[Calc List Price]]=0,0,IF(Operations[[#This Row],[Units per Hour]]*Operations[[#This Row],[Annual Use]]=0,0,(Operations[[#This Row],[Calc Beg Yr. Value]]-Operations[[#This Row],[Calc End Yr. Value]])/(Operations[[#This Row],[Annual Use]])))</f>
        <v>0</v>
      </c>
      <c r="S74" s="185">
        <f>IF(Operations[[#This Row],[Annual Use]]=0,0,Operations[[#This Row],[Calc Beg Yr. Value]]*'General Variables'!$B$7/Operations[[#This Row],[Annual Use]])</f>
        <v>0</v>
      </c>
      <c r="T74" s="185">
        <f>IF(Operations[[#This Row],[Annual Use]]=0,0,Operations[[#This Row],[Calc Beg Yr. Value]]*'General Variables'!$B$8/Operations[[#This Row],[Annual Use]])</f>
        <v>0</v>
      </c>
      <c r="U74" s="185">
        <f>SUM(Operations[[#This Row],[Depreciation per Unit]:[Opportunity Cost per Unit]])</f>
        <v>0</v>
      </c>
    </row>
    <row r="75" spans="1:21" ht="12.75" customHeight="1">
      <c r="A75" s="221"/>
      <c r="B75" s="222"/>
      <c r="C75" s="223"/>
      <c r="D75" s="223"/>
      <c r="E75" s="207"/>
      <c r="F75" s="208"/>
      <c r="G75" s="207"/>
      <c r="H75" s="207"/>
      <c r="I75" s="209"/>
      <c r="J75" s="210"/>
      <c r="K75" s="223"/>
      <c r="L75" s="208"/>
      <c r="M75" s="211"/>
      <c r="N7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5" s="184">
        <f>IF(Operations[[#This Row],[Calc List Price]]=0,0,IF(Operations[[#This Row],[Units per Hour]]*Operations[[#This Row],[Annual Use]]=0,0,(Operations[[#This Row],[Calc Beg Yr. Value]]-Operations[[#This Row],[Calc End Yr. Value]])/(Operations[[#This Row],[Annual Use]])))</f>
        <v>0</v>
      </c>
      <c r="S75" s="185">
        <f>IF(Operations[[#This Row],[Annual Use]]=0,0,Operations[[#This Row],[Calc Beg Yr. Value]]*'General Variables'!$B$7/Operations[[#This Row],[Annual Use]])</f>
        <v>0</v>
      </c>
      <c r="T75" s="185">
        <f>IF(Operations[[#This Row],[Annual Use]]=0,0,Operations[[#This Row],[Calc Beg Yr. Value]]*'General Variables'!$B$8/Operations[[#This Row],[Annual Use]])</f>
        <v>0</v>
      </c>
      <c r="U75" s="185">
        <f>SUM(Operations[[#This Row],[Depreciation per Unit]:[Opportunity Cost per Unit]])</f>
        <v>0</v>
      </c>
    </row>
    <row r="76" spans="1:21" ht="12.75" customHeight="1">
      <c r="A76" s="221"/>
      <c r="B76" s="222"/>
      <c r="C76" s="223"/>
      <c r="D76" s="223"/>
      <c r="E76" s="207"/>
      <c r="F76" s="208"/>
      <c r="G76" s="207"/>
      <c r="H76" s="207"/>
      <c r="I76" s="209"/>
      <c r="J76" s="210"/>
      <c r="K76" s="223"/>
      <c r="L76" s="208"/>
      <c r="M76" s="211"/>
      <c r="N7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6" s="184">
        <f>IF(Operations[[#This Row],[Calc List Price]]=0,0,IF(Operations[[#This Row],[Units per Hour]]*Operations[[#This Row],[Annual Use]]=0,0,(Operations[[#This Row],[Calc Beg Yr. Value]]-Operations[[#This Row],[Calc End Yr. Value]])/(Operations[[#This Row],[Annual Use]])))</f>
        <v>0</v>
      </c>
      <c r="S76" s="185">
        <f>IF(Operations[[#This Row],[Annual Use]]=0,0,Operations[[#This Row],[Calc Beg Yr. Value]]*'General Variables'!$B$7/Operations[[#This Row],[Annual Use]])</f>
        <v>0</v>
      </c>
      <c r="T76" s="185">
        <f>IF(Operations[[#This Row],[Annual Use]]=0,0,Operations[[#This Row],[Calc Beg Yr. Value]]*'General Variables'!$B$8/Operations[[#This Row],[Annual Use]])</f>
        <v>0</v>
      </c>
      <c r="U76" s="185">
        <f>SUM(Operations[[#This Row],[Depreciation per Unit]:[Opportunity Cost per Unit]])</f>
        <v>0</v>
      </c>
    </row>
    <row r="77" spans="1:21" ht="12.75" customHeight="1">
      <c r="A77" s="221"/>
      <c r="B77" s="222"/>
      <c r="C77" s="223"/>
      <c r="D77" s="223"/>
      <c r="E77" s="207"/>
      <c r="F77" s="208"/>
      <c r="G77" s="207"/>
      <c r="H77" s="207"/>
      <c r="I77" s="209"/>
      <c r="J77" s="210"/>
      <c r="K77" s="223"/>
      <c r="L77" s="208"/>
      <c r="M77" s="211"/>
      <c r="N7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7" s="184">
        <f>IF(Operations[[#This Row],[Calc List Price]]=0,0,IF(Operations[[#This Row],[Units per Hour]]*Operations[[#This Row],[Annual Use]]=0,0,(Operations[[#This Row],[Calc Beg Yr. Value]]-Operations[[#This Row],[Calc End Yr. Value]])/(Operations[[#This Row],[Annual Use]])))</f>
        <v>0</v>
      </c>
      <c r="S77" s="185">
        <f>IF(Operations[[#This Row],[Annual Use]]=0,0,Operations[[#This Row],[Calc Beg Yr. Value]]*'General Variables'!$B$7/Operations[[#This Row],[Annual Use]])</f>
        <v>0</v>
      </c>
      <c r="T77" s="185">
        <f>IF(Operations[[#This Row],[Annual Use]]=0,0,Operations[[#This Row],[Calc Beg Yr. Value]]*'General Variables'!$B$8/Operations[[#This Row],[Annual Use]])</f>
        <v>0</v>
      </c>
      <c r="U77" s="185">
        <f>SUM(Operations[[#This Row],[Depreciation per Unit]:[Opportunity Cost per Unit]])</f>
        <v>0</v>
      </c>
    </row>
    <row r="78" spans="1:21" ht="12.75" customHeight="1">
      <c r="A78" s="221"/>
      <c r="B78" s="222"/>
      <c r="C78" s="223"/>
      <c r="D78" s="223"/>
      <c r="E78" s="207"/>
      <c r="F78" s="208"/>
      <c r="G78" s="207"/>
      <c r="H78" s="207"/>
      <c r="I78" s="209"/>
      <c r="J78" s="210"/>
      <c r="K78" s="223"/>
      <c r="L78" s="208"/>
      <c r="M78" s="211"/>
      <c r="N78"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8" s="184">
        <f>IF(Operations[[#This Row],[Calc List Price]]=0,0,IF(Operations[[#This Row],[Units per Hour]]*Operations[[#This Row],[Annual Use]]=0,0,(Operations[[#This Row],[Calc Beg Yr. Value]]-Operations[[#This Row],[Calc End Yr. Value]])/(Operations[[#This Row],[Annual Use]])))</f>
        <v>0</v>
      </c>
      <c r="S78" s="185">
        <f>IF(Operations[[#This Row],[Annual Use]]=0,0,Operations[[#This Row],[Calc Beg Yr. Value]]*'General Variables'!$B$7/Operations[[#This Row],[Annual Use]])</f>
        <v>0</v>
      </c>
      <c r="T78" s="185">
        <f>IF(Operations[[#This Row],[Annual Use]]=0,0,Operations[[#This Row],[Calc Beg Yr. Value]]*'General Variables'!$B$8/Operations[[#This Row],[Annual Use]])</f>
        <v>0</v>
      </c>
      <c r="U78" s="185">
        <f>SUM(Operations[[#This Row],[Depreciation per Unit]:[Opportunity Cost per Unit]])</f>
        <v>0</v>
      </c>
    </row>
    <row r="79" spans="1:21" ht="12.75" customHeight="1">
      <c r="A79" s="221"/>
      <c r="B79" s="222"/>
      <c r="C79" s="223"/>
      <c r="D79" s="223"/>
      <c r="E79" s="207"/>
      <c r="F79" s="208"/>
      <c r="G79" s="207"/>
      <c r="H79" s="207"/>
      <c r="I79" s="209"/>
      <c r="J79" s="210"/>
      <c r="K79" s="223"/>
      <c r="L79" s="208"/>
      <c r="M79" s="211"/>
      <c r="N79"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9" s="184">
        <f>IF(Operations[[#This Row],[Calc List Price]]=0,0,IF(Operations[[#This Row],[Units per Hour]]*Operations[[#This Row],[Annual Use]]=0,0,(Operations[[#This Row],[Calc Beg Yr. Value]]-Operations[[#This Row],[Calc End Yr. Value]])/(Operations[[#This Row],[Annual Use]])))</f>
        <v>0</v>
      </c>
      <c r="S79" s="185">
        <f>IF(Operations[[#This Row],[Annual Use]]=0,0,Operations[[#This Row],[Calc Beg Yr. Value]]*'General Variables'!$B$7/Operations[[#This Row],[Annual Use]])</f>
        <v>0</v>
      </c>
      <c r="T79" s="185">
        <f>IF(Operations[[#This Row],[Annual Use]]=0,0,Operations[[#This Row],[Calc Beg Yr. Value]]*'General Variables'!$B$8/Operations[[#This Row],[Annual Use]])</f>
        <v>0</v>
      </c>
      <c r="U79" s="185">
        <f>SUM(Operations[[#This Row],[Depreciation per Unit]:[Opportunity Cost per Unit]])</f>
        <v>0</v>
      </c>
    </row>
    <row r="80" spans="1:21" ht="12.75" customHeight="1">
      <c r="A80" s="221"/>
      <c r="B80" s="222"/>
      <c r="C80" s="223"/>
      <c r="D80" s="223"/>
      <c r="E80" s="207"/>
      <c r="F80" s="208"/>
      <c r="G80" s="207"/>
      <c r="H80" s="207"/>
      <c r="I80" s="209"/>
      <c r="J80" s="210"/>
      <c r="K80" s="223"/>
      <c r="L80" s="208"/>
      <c r="M80" s="211"/>
      <c r="N8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0" s="184">
        <f>IF(Operations[[#This Row],[Calc List Price]]=0,0,IF(Operations[[#This Row],[Units per Hour]]*Operations[[#This Row],[Annual Use]]=0,0,(Operations[[#This Row],[Calc Beg Yr. Value]]-Operations[[#This Row],[Calc End Yr. Value]])/(Operations[[#This Row],[Annual Use]])))</f>
        <v>0</v>
      </c>
      <c r="S80" s="185">
        <f>IF(Operations[[#This Row],[Annual Use]]=0,0,Operations[[#This Row],[Calc Beg Yr. Value]]*'General Variables'!$B$7/Operations[[#This Row],[Annual Use]])</f>
        <v>0</v>
      </c>
      <c r="T80" s="185">
        <f>IF(Operations[[#This Row],[Annual Use]]=0,0,Operations[[#This Row],[Calc Beg Yr. Value]]*'General Variables'!$B$8/Operations[[#This Row],[Annual Use]])</f>
        <v>0</v>
      </c>
      <c r="U80" s="185">
        <f>SUM(Operations[[#This Row],[Depreciation per Unit]:[Opportunity Cost per Unit]])</f>
        <v>0</v>
      </c>
    </row>
    <row r="81" spans="1:21" ht="12.75" customHeight="1">
      <c r="A81" s="221"/>
      <c r="B81" s="222"/>
      <c r="C81" s="223"/>
      <c r="D81" s="223"/>
      <c r="E81" s="207"/>
      <c r="F81" s="208"/>
      <c r="G81" s="207"/>
      <c r="H81" s="207"/>
      <c r="I81" s="209"/>
      <c r="J81" s="210"/>
      <c r="K81" s="223"/>
      <c r="L81" s="208"/>
      <c r="M81" s="211"/>
      <c r="N8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1" s="184">
        <f>IF(Operations[[#This Row],[Calc List Price]]=0,0,IF(Operations[[#This Row],[Units per Hour]]*Operations[[#This Row],[Annual Use]]=0,0,(Operations[[#This Row],[Calc Beg Yr. Value]]-Operations[[#This Row],[Calc End Yr. Value]])/(Operations[[#This Row],[Annual Use]])))</f>
        <v>0</v>
      </c>
      <c r="S81" s="185">
        <f>IF(Operations[[#This Row],[Annual Use]]=0,0,Operations[[#This Row],[Calc Beg Yr. Value]]*'General Variables'!$B$7/Operations[[#This Row],[Annual Use]])</f>
        <v>0</v>
      </c>
      <c r="T81" s="185">
        <f>IF(Operations[[#This Row],[Annual Use]]=0,0,Operations[[#This Row],[Calc Beg Yr. Value]]*'General Variables'!$B$8/Operations[[#This Row],[Annual Use]])</f>
        <v>0</v>
      </c>
      <c r="U81" s="185">
        <f>SUM(Operations[[#This Row],[Depreciation per Unit]:[Opportunity Cost per Unit]])</f>
        <v>0</v>
      </c>
    </row>
    <row r="82" spans="1:21" ht="12.75" customHeight="1">
      <c r="A82" s="221"/>
      <c r="B82" s="222"/>
      <c r="C82" s="223"/>
      <c r="D82" s="223"/>
      <c r="E82" s="207"/>
      <c r="F82" s="208"/>
      <c r="G82" s="207"/>
      <c r="H82" s="207"/>
      <c r="I82" s="209"/>
      <c r="J82" s="210"/>
      <c r="K82" s="223"/>
      <c r="L82" s="208"/>
      <c r="M82" s="211"/>
      <c r="N8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2" s="184">
        <f>IF(Operations[[#This Row],[Calc List Price]]=0,0,IF(Operations[[#This Row],[Units per Hour]]*Operations[[#This Row],[Annual Use]]=0,0,(Operations[[#This Row],[Calc Beg Yr. Value]]-Operations[[#This Row],[Calc End Yr. Value]])/(Operations[[#This Row],[Annual Use]])))</f>
        <v>0</v>
      </c>
      <c r="S82" s="185">
        <f>IF(Operations[[#This Row],[Annual Use]]=0,0,Operations[[#This Row],[Calc Beg Yr. Value]]*'General Variables'!$B$7/Operations[[#This Row],[Annual Use]])</f>
        <v>0</v>
      </c>
      <c r="T82" s="185">
        <f>IF(Operations[[#This Row],[Annual Use]]=0,0,Operations[[#This Row],[Calc Beg Yr. Value]]*'General Variables'!$B$8/Operations[[#This Row],[Annual Use]])</f>
        <v>0</v>
      </c>
      <c r="U82" s="185">
        <f>SUM(Operations[[#This Row],[Depreciation per Unit]:[Opportunity Cost per Unit]])</f>
        <v>0</v>
      </c>
    </row>
    <row r="83" spans="1:21" ht="12.75" customHeight="1">
      <c r="A83" s="221"/>
      <c r="B83" s="222"/>
      <c r="C83" s="223"/>
      <c r="D83" s="223"/>
      <c r="E83" s="207"/>
      <c r="F83" s="208"/>
      <c r="G83" s="207"/>
      <c r="H83" s="207"/>
      <c r="I83" s="209"/>
      <c r="J83" s="210"/>
      <c r="K83" s="223"/>
      <c r="L83" s="208"/>
      <c r="M83" s="211"/>
      <c r="N8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3" s="184">
        <f>IF(Operations[[#This Row],[Calc List Price]]=0,0,IF(Operations[[#This Row],[Units per Hour]]*Operations[[#This Row],[Annual Use]]=0,0,(Operations[[#This Row],[Calc Beg Yr. Value]]-Operations[[#This Row],[Calc End Yr. Value]])/(Operations[[#This Row],[Annual Use]])))</f>
        <v>0</v>
      </c>
      <c r="S83" s="185">
        <f>IF(Operations[[#This Row],[Annual Use]]=0,0,Operations[[#This Row],[Calc Beg Yr. Value]]*'General Variables'!$B$7/Operations[[#This Row],[Annual Use]])</f>
        <v>0</v>
      </c>
      <c r="T83" s="185">
        <f>IF(Operations[[#This Row],[Annual Use]]=0,0,Operations[[#This Row],[Calc Beg Yr. Value]]*'General Variables'!$B$8/Operations[[#This Row],[Annual Use]])</f>
        <v>0</v>
      </c>
      <c r="U83" s="185">
        <f>SUM(Operations[[#This Row],[Depreciation per Unit]:[Opportunity Cost per Unit]])</f>
        <v>0</v>
      </c>
    </row>
    <row r="84" spans="1:21" ht="12.75" customHeight="1">
      <c r="A84" s="221"/>
      <c r="B84" s="222"/>
      <c r="C84" s="223"/>
      <c r="D84" s="223"/>
      <c r="E84" s="207"/>
      <c r="F84" s="208"/>
      <c r="G84" s="207"/>
      <c r="H84" s="207"/>
      <c r="I84" s="209"/>
      <c r="J84" s="210"/>
      <c r="K84" s="223"/>
      <c r="L84" s="208"/>
      <c r="M84" s="211"/>
      <c r="N8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4" s="184">
        <f>IF(Operations[[#This Row],[Calc List Price]]=0,0,IF(Operations[[#This Row],[Units per Hour]]*Operations[[#This Row],[Annual Use]]=0,0,(Operations[[#This Row],[Calc Beg Yr. Value]]-Operations[[#This Row],[Calc End Yr. Value]])/(Operations[[#This Row],[Annual Use]])))</f>
        <v>0</v>
      </c>
      <c r="S84" s="185">
        <f>IF(Operations[[#This Row],[Annual Use]]=0,0,Operations[[#This Row],[Calc Beg Yr. Value]]*'General Variables'!$B$7/Operations[[#This Row],[Annual Use]])</f>
        <v>0</v>
      </c>
      <c r="T84" s="185">
        <f>IF(Operations[[#This Row],[Annual Use]]=0,0,Operations[[#This Row],[Calc Beg Yr. Value]]*'General Variables'!$B$8/Operations[[#This Row],[Annual Use]])</f>
        <v>0</v>
      </c>
      <c r="U84" s="185">
        <f>SUM(Operations[[#This Row],[Depreciation per Unit]:[Opportunity Cost per Unit]])</f>
        <v>0</v>
      </c>
    </row>
    <row r="85" spans="1:21" ht="12.75" customHeight="1">
      <c r="A85" s="221"/>
      <c r="B85" s="222"/>
      <c r="C85" s="223"/>
      <c r="D85" s="223"/>
      <c r="E85" s="207"/>
      <c r="F85" s="208"/>
      <c r="G85" s="207"/>
      <c r="H85" s="207"/>
      <c r="I85" s="209"/>
      <c r="J85" s="210"/>
      <c r="K85" s="223"/>
      <c r="L85" s="208"/>
      <c r="M85" s="211"/>
      <c r="N8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5" s="184">
        <f>IF(Operations[[#This Row],[Calc List Price]]=0,0,IF(Operations[[#This Row],[Units per Hour]]*Operations[[#This Row],[Annual Use]]=0,0,(Operations[[#This Row],[Calc Beg Yr. Value]]-Operations[[#This Row],[Calc End Yr. Value]])/(Operations[[#This Row],[Annual Use]])))</f>
        <v>0</v>
      </c>
      <c r="S85" s="185">
        <f>IF(Operations[[#This Row],[Annual Use]]=0,0,Operations[[#This Row],[Calc Beg Yr. Value]]*'General Variables'!$B$7/Operations[[#This Row],[Annual Use]])</f>
        <v>0</v>
      </c>
      <c r="T85" s="185">
        <f>IF(Operations[[#This Row],[Annual Use]]=0,0,Operations[[#This Row],[Calc Beg Yr. Value]]*'General Variables'!$B$8/Operations[[#This Row],[Annual Use]])</f>
        <v>0</v>
      </c>
      <c r="U85" s="185">
        <f>SUM(Operations[[#This Row],[Depreciation per Unit]:[Opportunity Cost per Unit]])</f>
        <v>0</v>
      </c>
    </row>
    <row r="86" spans="1:21" ht="12.75" customHeight="1">
      <c r="A86" s="221"/>
      <c r="B86" s="222"/>
      <c r="C86" s="223"/>
      <c r="D86" s="223"/>
      <c r="E86" s="207"/>
      <c r="F86" s="208"/>
      <c r="G86" s="207"/>
      <c r="H86" s="207"/>
      <c r="I86" s="209"/>
      <c r="J86" s="210"/>
      <c r="K86" s="223"/>
      <c r="L86" s="208"/>
      <c r="M86" s="211"/>
      <c r="N8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6" s="184">
        <f>IF(Operations[[#This Row],[Calc List Price]]=0,0,IF(Operations[[#This Row],[Units per Hour]]*Operations[[#This Row],[Annual Use]]=0,0,(Operations[[#This Row],[Calc Beg Yr. Value]]-Operations[[#This Row],[Calc End Yr. Value]])/(Operations[[#This Row],[Annual Use]])))</f>
        <v>0</v>
      </c>
      <c r="S86" s="185">
        <f>IF(Operations[[#This Row],[Annual Use]]=0,0,Operations[[#This Row],[Calc Beg Yr. Value]]*'General Variables'!$B$7/Operations[[#This Row],[Annual Use]])</f>
        <v>0</v>
      </c>
      <c r="T86" s="185">
        <f>IF(Operations[[#This Row],[Annual Use]]=0,0,Operations[[#This Row],[Calc Beg Yr. Value]]*'General Variables'!$B$8/Operations[[#This Row],[Annual Use]])</f>
        <v>0</v>
      </c>
      <c r="U86" s="185">
        <f>SUM(Operations[[#This Row],[Depreciation per Unit]:[Opportunity Cost per Unit]])</f>
        <v>0</v>
      </c>
    </row>
    <row r="87" spans="1:21" ht="12.75" customHeight="1">
      <c r="A87" s="221"/>
      <c r="B87" s="222"/>
      <c r="C87" s="223"/>
      <c r="D87" s="223"/>
      <c r="E87" s="207"/>
      <c r="F87" s="208"/>
      <c r="G87" s="207"/>
      <c r="H87" s="207"/>
      <c r="I87" s="209"/>
      <c r="J87" s="210"/>
      <c r="K87" s="223"/>
      <c r="L87" s="208"/>
      <c r="M87" s="211"/>
      <c r="N8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7" s="184">
        <f>IF(Operations[[#This Row],[Calc List Price]]=0,0,IF(Operations[[#This Row],[Units per Hour]]*Operations[[#This Row],[Annual Use]]=0,0,(Operations[[#This Row],[Calc Beg Yr. Value]]-Operations[[#This Row],[Calc End Yr. Value]])/(Operations[[#This Row],[Annual Use]])))</f>
        <v>0</v>
      </c>
      <c r="S87" s="185">
        <f>IF(Operations[[#This Row],[Annual Use]]=0,0,Operations[[#This Row],[Calc Beg Yr. Value]]*'General Variables'!$B$7/Operations[[#This Row],[Annual Use]])</f>
        <v>0</v>
      </c>
      <c r="T87" s="185">
        <f>IF(Operations[[#This Row],[Annual Use]]=0,0,Operations[[#This Row],[Calc Beg Yr. Value]]*'General Variables'!$B$8/Operations[[#This Row],[Annual Use]])</f>
        <v>0</v>
      </c>
      <c r="U87" s="185">
        <f>SUM(Operations[[#This Row],[Depreciation per Unit]:[Opportunity Cost per Unit]])</f>
        <v>0</v>
      </c>
    </row>
    <row r="88" spans="1:21" ht="12.75" customHeight="1">
      <c r="A88" s="221"/>
      <c r="B88" s="222"/>
      <c r="C88" s="223"/>
      <c r="D88" s="223"/>
      <c r="E88" s="207"/>
      <c r="F88" s="208"/>
      <c r="G88" s="207"/>
      <c r="H88" s="207"/>
      <c r="I88" s="209"/>
      <c r="J88" s="210"/>
      <c r="K88" s="223"/>
      <c r="L88" s="208"/>
      <c r="M88" s="211"/>
      <c r="N88"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8" s="184">
        <f>IF(Operations[[#This Row],[Calc List Price]]=0,0,IF(Operations[[#This Row],[Units per Hour]]*Operations[[#This Row],[Annual Use]]=0,0,(Operations[[#This Row],[Calc Beg Yr. Value]]-Operations[[#This Row],[Calc End Yr. Value]])/(Operations[[#This Row],[Annual Use]])))</f>
        <v>0</v>
      </c>
      <c r="S88" s="185">
        <f>IF(Operations[[#This Row],[Annual Use]]=0,0,Operations[[#This Row],[Calc Beg Yr. Value]]*'General Variables'!$B$7/Operations[[#This Row],[Annual Use]])</f>
        <v>0</v>
      </c>
      <c r="T88" s="185">
        <f>IF(Operations[[#This Row],[Annual Use]]=0,0,Operations[[#This Row],[Calc Beg Yr. Value]]*'General Variables'!$B$8/Operations[[#This Row],[Annual Use]])</f>
        <v>0</v>
      </c>
      <c r="U88" s="185">
        <f>SUM(Operations[[#This Row],[Depreciation per Unit]:[Opportunity Cost per Unit]])</f>
        <v>0</v>
      </c>
    </row>
    <row r="89" spans="1:21" ht="12.75" customHeight="1">
      <c r="A89" s="221"/>
      <c r="B89" s="222"/>
      <c r="C89" s="223"/>
      <c r="D89" s="223"/>
      <c r="E89" s="207"/>
      <c r="F89" s="208"/>
      <c r="G89" s="207"/>
      <c r="H89" s="207"/>
      <c r="I89" s="209"/>
      <c r="J89" s="210"/>
      <c r="K89" s="223"/>
      <c r="L89" s="208"/>
      <c r="M89" s="211"/>
      <c r="N89"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9" s="184">
        <f>IF(Operations[[#This Row],[Calc List Price]]=0,0,IF(Operations[[#This Row],[Units per Hour]]*Operations[[#This Row],[Annual Use]]=0,0,(Operations[[#This Row],[Calc Beg Yr. Value]]-Operations[[#This Row],[Calc End Yr. Value]])/(Operations[[#This Row],[Annual Use]])))</f>
        <v>0</v>
      </c>
      <c r="S89" s="185">
        <f>IF(Operations[[#This Row],[Annual Use]]=0,0,Operations[[#This Row],[Calc Beg Yr. Value]]*'General Variables'!$B$7/Operations[[#This Row],[Annual Use]])</f>
        <v>0</v>
      </c>
      <c r="T89" s="185">
        <f>IF(Operations[[#This Row],[Annual Use]]=0,0,Operations[[#This Row],[Calc Beg Yr. Value]]*'General Variables'!$B$8/Operations[[#This Row],[Annual Use]])</f>
        <v>0</v>
      </c>
      <c r="U89" s="185">
        <f>SUM(Operations[[#This Row],[Depreciation per Unit]:[Opportunity Cost per Unit]])</f>
        <v>0</v>
      </c>
    </row>
    <row r="90" spans="1:21" ht="12.75" customHeight="1">
      <c r="A90" s="221"/>
      <c r="B90" s="222"/>
      <c r="C90" s="223"/>
      <c r="D90" s="223"/>
      <c r="E90" s="207"/>
      <c r="F90" s="208"/>
      <c r="G90" s="207"/>
      <c r="H90" s="207"/>
      <c r="I90" s="209"/>
      <c r="J90" s="210"/>
      <c r="K90" s="223"/>
      <c r="L90" s="208"/>
      <c r="M90" s="211"/>
      <c r="N9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0" s="184">
        <f>IF(Operations[[#This Row],[Calc List Price]]=0,0,IF(Operations[[#This Row],[Units per Hour]]*Operations[[#This Row],[Annual Use]]=0,0,(Operations[[#This Row],[Calc Beg Yr. Value]]-Operations[[#This Row],[Calc End Yr. Value]])/(Operations[[#This Row],[Annual Use]])))</f>
        <v>0</v>
      </c>
      <c r="S90" s="185">
        <f>IF(Operations[[#This Row],[Annual Use]]=0,0,Operations[[#This Row],[Calc Beg Yr. Value]]*'General Variables'!$B$7/Operations[[#This Row],[Annual Use]])</f>
        <v>0</v>
      </c>
      <c r="T90" s="185">
        <f>IF(Operations[[#This Row],[Annual Use]]=0,0,Operations[[#This Row],[Calc Beg Yr. Value]]*'General Variables'!$B$8/Operations[[#This Row],[Annual Use]])</f>
        <v>0</v>
      </c>
      <c r="U90" s="185">
        <f>SUM(Operations[[#This Row],[Depreciation per Unit]:[Opportunity Cost per Unit]])</f>
        <v>0</v>
      </c>
    </row>
    <row r="91" spans="1:21" ht="12.75" customHeight="1">
      <c r="A91" s="221"/>
      <c r="B91" s="222"/>
      <c r="C91" s="223"/>
      <c r="D91" s="223"/>
      <c r="E91" s="207"/>
      <c r="F91" s="208"/>
      <c r="G91" s="207"/>
      <c r="H91" s="207"/>
      <c r="I91" s="209"/>
      <c r="J91" s="210"/>
      <c r="K91" s="223"/>
      <c r="L91" s="208"/>
      <c r="M91" s="211"/>
      <c r="N9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1" s="184">
        <f>IF(Operations[[#This Row],[Calc List Price]]=0,0,IF(Operations[[#This Row],[Units per Hour]]*Operations[[#This Row],[Annual Use]]=0,0,(Operations[[#This Row],[Calc Beg Yr. Value]]-Operations[[#This Row],[Calc End Yr. Value]])/(Operations[[#This Row],[Annual Use]])))</f>
        <v>0</v>
      </c>
      <c r="S91" s="185">
        <f>IF(Operations[[#This Row],[Annual Use]]=0,0,Operations[[#This Row],[Calc Beg Yr. Value]]*'General Variables'!$B$7/Operations[[#This Row],[Annual Use]])</f>
        <v>0</v>
      </c>
      <c r="T91" s="185">
        <f>IF(Operations[[#This Row],[Annual Use]]=0,0,Operations[[#This Row],[Calc Beg Yr. Value]]*'General Variables'!$B$8/Operations[[#This Row],[Annual Use]])</f>
        <v>0</v>
      </c>
      <c r="U91" s="185">
        <f>SUM(Operations[[#This Row],[Depreciation per Unit]:[Opportunity Cost per Unit]])</f>
        <v>0</v>
      </c>
    </row>
    <row r="92" spans="1:21" ht="12.75" customHeight="1">
      <c r="A92" s="221"/>
      <c r="B92" s="222"/>
      <c r="C92" s="223"/>
      <c r="D92" s="223"/>
      <c r="E92" s="207"/>
      <c r="F92" s="208"/>
      <c r="G92" s="207"/>
      <c r="H92" s="207"/>
      <c r="I92" s="209"/>
      <c r="J92" s="210"/>
      <c r="K92" s="223"/>
      <c r="L92" s="208"/>
      <c r="M92" s="211"/>
      <c r="N92"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2" s="184">
        <f>IF(Operations[[#This Row],[Calc List Price]]=0,0,IF(Operations[[#This Row],[Units per Hour]]*Operations[[#This Row],[Annual Use]]=0,0,(Operations[[#This Row],[Calc Beg Yr. Value]]-Operations[[#This Row],[Calc End Yr. Value]])/(Operations[[#This Row],[Annual Use]])))</f>
        <v>0</v>
      </c>
      <c r="S92" s="185">
        <f>IF(Operations[[#This Row],[Annual Use]]=0,0,Operations[[#This Row],[Calc Beg Yr. Value]]*'General Variables'!$B$7/Operations[[#This Row],[Annual Use]])</f>
        <v>0</v>
      </c>
      <c r="T92" s="185">
        <f>IF(Operations[[#This Row],[Annual Use]]=0,0,Operations[[#This Row],[Calc Beg Yr. Value]]*'General Variables'!$B$8/Operations[[#This Row],[Annual Use]])</f>
        <v>0</v>
      </c>
      <c r="U92" s="185">
        <f>SUM(Operations[[#This Row],[Depreciation per Unit]:[Opportunity Cost per Unit]])</f>
        <v>0</v>
      </c>
    </row>
    <row r="93" spans="1:21" ht="12.75" customHeight="1">
      <c r="A93" s="221"/>
      <c r="B93" s="222"/>
      <c r="C93" s="223"/>
      <c r="D93" s="223"/>
      <c r="E93" s="207"/>
      <c r="F93" s="208"/>
      <c r="G93" s="207"/>
      <c r="H93" s="207"/>
      <c r="I93" s="209"/>
      <c r="J93" s="210"/>
      <c r="K93" s="223"/>
      <c r="L93" s="208"/>
      <c r="M93" s="211"/>
      <c r="N93"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3" s="184">
        <f>IF(Operations[[#This Row],[Calc List Price]]=0,0,IF(Operations[[#This Row],[Units per Hour]]*Operations[[#This Row],[Annual Use]]=0,0,(Operations[[#This Row],[Calc Beg Yr. Value]]-Operations[[#This Row],[Calc End Yr. Value]])/(Operations[[#This Row],[Annual Use]])))</f>
        <v>0</v>
      </c>
      <c r="S93" s="185">
        <f>IF(Operations[[#This Row],[Annual Use]]=0,0,Operations[[#This Row],[Calc Beg Yr. Value]]*'General Variables'!$B$7/Operations[[#This Row],[Annual Use]])</f>
        <v>0</v>
      </c>
      <c r="T93" s="185">
        <f>IF(Operations[[#This Row],[Annual Use]]=0,0,Operations[[#This Row],[Calc Beg Yr. Value]]*'General Variables'!$B$8/Operations[[#This Row],[Annual Use]])</f>
        <v>0</v>
      </c>
      <c r="U93" s="185">
        <f>SUM(Operations[[#This Row],[Depreciation per Unit]:[Opportunity Cost per Unit]])</f>
        <v>0</v>
      </c>
    </row>
    <row r="94" spans="1:21" ht="12.75" customHeight="1">
      <c r="A94" s="221"/>
      <c r="B94" s="222"/>
      <c r="C94" s="223"/>
      <c r="D94" s="223"/>
      <c r="E94" s="207"/>
      <c r="F94" s="208"/>
      <c r="G94" s="207"/>
      <c r="H94" s="207"/>
      <c r="I94" s="209"/>
      <c r="J94" s="210"/>
      <c r="K94" s="223"/>
      <c r="L94" s="208"/>
      <c r="M94" s="211"/>
      <c r="N94"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4" s="184">
        <f>IF(Operations[[#This Row],[Calc List Price]]=0,0,IF(Operations[[#This Row],[Units per Hour]]*Operations[[#This Row],[Annual Use]]=0,0,(Operations[[#This Row],[Calc Beg Yr. Value]]-Operations[[#This Row],[Calc End Yr. Value]])/(Operations[[#This Row],[Annual Use]])))</f>
        <v>0</v>
      </c>
      <c r="S94" s="185">
        <f>IF(Operations[[#This Row],[Annual Use]]=0,0,Operations[[#This Row],[Calc Beg Yr. Value]]*'General Variables'!$B$7/Operations[[#This Row],[Annual Use]])</f>
        <v>0</v>
      </c>
      <c r="T94" s="185">
        <f>IF(Operations[[#This Row],[Annual Use]]=0,0,Operations[[#This Row],[Calc Beg Yr. Value]]*'General Variables'!$B$8/Operations[[#This Row],[Annual Use]])</f>
        <v>0</v>
      </c>
      <c r="U94" s="185">
        <f>SUM(Operations[[#This Row],[Depreciation per Unit]:[Opportunity Cost per Unit]])</f>
        <v>0</v>
      </c>
    </row>
    <row r="95" spans="1:21" ht="12.75" customHeight="1">
      <c r="A95" s="221"/>
      <c r="B95" s="222"/>
      <c r="C95" s="223"/>
      <c r="D95" s="223"/>
      <c r="E95" s="207"/>
      <c r="F95" s="208"/>
      <c r="G95" s="207"/>
      <c r="H95" s="207"/>
      <c r="I95" s="209"/>
      <c r="J95" s="210"/>
      <c r="K95" s="223"/>
      <c r="L95" s="208"/>
      <c r="M95" s="211"/>
      <c r="N95"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5" s="184">
        <f>IF(Operations[[#This Row],[Calc List Price]]=0,0,IF(Operations[[#This Row],[Units per Hour]]*Operations[[#This Row],[Annual Use]]=0,0,(Operations[[#This Row],[Calc Beg Yr. Value]]-Operations[[#This Row],[Calc End Yr. Value]])/(Operations[[#This Row],[Annual Use]])))</f>
        <v>0</v>
      </c>
      <c r="S95" s="185">
        <f>IF(Operations[[#This Row],[Annual Use]]=0,0,Operations[[#This Row],[Calc Beg Yr. Value]]*'General Variables'!$B$7/Operations[[#This Row],[Annual Use]])</f>
        <v>0</v>
      </c>
      <c r="T95" s="185">
        <f>IF(Operations[[#This Row],[Annual Use]]=0,0,Operations[[#This Row],[Calc Beg Yr. Value]]*'General Variables'!$B$8/Operations[[#This Row],[Annual Use]])</f>
        <v>0</v>
      </c>
      <c r="U95" s="185">
        <f>SUM(Operations[[#This Row],[Depreciation per Unit]:[Opportunity Cost per Unit]])</f>
        <v>0</v>
      </c>
    </row>
    <row r="96" spans="1:21" ht="12.75" customHeight="1">
      <c r="A96" s="221"/>
      <c r="B96" s="222"/>
      <c r="C96" s="223"/>
      <c r="D96" s="223"/>
      <c r="E96" s="207"/>
      <c r="F96" s="208"/>
      <c r="G96" s="207"/>
      <c r="H96" s="207"/>
      <c r="I96" s="209"/>
      <c r="J96" s="210"/>
      <c r="K96" s="223"/>
      <c r="L96" s="208"/>
      <c r="M96" s="224"/>
      <c r="N96"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6" s="184">
        <f>IF(Operations[[#This Row],[Calc List Price]]=0,0,IF(Operations[[#This Row],[Units per Hour]]*Operations[[#This Row],[Annual Use]]=0,0,(Operations[[#This Row],[Calc Beg Yr. Value]]-Operations[[#This Row],[Calc End Yr. Value]])/(Operations[[#This Row],[Annual Use]])))</f>
        <v>0</v>
      </c>
      <c r="S96" s="185">
        <f>IF(Operations[[#This Row],[Annual Use]]=0,0,Operations[[#This Row],[Calc Beg Yr. Value]]*'General Variables'!$B$7/Operations[[#This Row],[Annual Use]])</f>
        <v>0</v>
      </c>
      <c r="T96" s="185">
        <f>IF(Operations[[#This Row],[Annual Use]]=0,0,Operations[[#This Row],[Calc Beg Yr. Value]]*'General Variables'!$B$8/Operations[[#This Row],[Annual Use]])</f>
        <v>0</v>
      </c>
      <c r="U96" s="185">
        <f>SUM(Operations[[#This Row],[Depreciation per Unit]:[Opportunity Cost per Unit]])</f>
        <v>0</v>
      </c>
    </row>
    <row r="97" spans="1:21" ht="12.75" customHeight="1">
      <c r="A97" s="221"/>
      <c r="B97" s="222"/>
      <c r="C97" s="223"/>
      <c r="D97" s="223"/>
      <c r="E97" s="207"/>
      <c r="F97" s="208"/>
      <c r="G97" s="207"/>
      <c r="H97" s="207"/>
      <c r="I97" s="209"/>
      <c r="J97" s="210"/>
      <c r="K97" s="223"/>
      <c r="L97" s="208"/>
      <c r="M97" s="224"/>
      <c r="N97"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7" s="184">
        <f>IF(Operations[[#This Row],[Calc List Price]]=0,0,IF(Operations[[#This Row],[Units per Hour]]*Operations[[#This Row],[Annual Use]]=0,0,(Operations[[#This Row],[Calc Beg Yr. Value]]-Operations[[#This Row],[Calc End Yr. Value]])/(Operations[[#This Row],[Annual Use]])))</f>
        <v>0</v>
      </c>
      <c r="S97" s="185">
        <f>IF(Operations[[#This Row],[Annual Use]]=0,0,Operations[[#This Row],[Calc Beg Yr. Value]]*'General Variables'!$B$7/Operations[[#This Row],[Annual Use]])</f>
        <v>0</v>
      </c>
      <c r="T97" s="185">
        <f>IF(Operations[[#This Row],[Annual Use]]=0,0,Operations[[#This Row],[Calc Beg Yr. Value]]*'General Variables'!$B$8/Operations[[#This Row],[Annual Use]])</f>
        <v>0</v>
      </c>
      <c r="U97" s="185">
        <f>SUM(Operations[[#This Row],[Depreciation per Unit]:[Opportunity Cost per Unit]])</f>
        <v>0</v>
      </c>
    </row>
    <row r="98" spans="1:21" ht="12.75" customHeight="1">
      <c r="A98" s="204"/>
      <c r="B98" s="205"/>
      <c r="C98" s="206"/>
      <c r="D98" s="206"/>
      <c r="E98" s="206"/>
      <c r="F98" s="225"/>
      <c r="G98" s="206"/>
      <c r="H98" s="206"/>
      <c r="I98" s="226"/>
      <c r="J98" s="226"/>
      <c r="K98" s="206"/>
      <c r="L98" s="226"/>
      <c r="M98" s="224"/>
      <c r="N98" s="19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9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9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9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8" s="199">
        <f>IF(Operations[[#This Row],[Calc List Price]]=0,0,IF(Operations[[#This Row],[Units per Hour]]*Operations[[#This Row],[Annual Use]]=0,0,(Operations[[#This Row],[Calc Beg Yr. Value]]-Operations[[#This Row],[Calc End Yr. Value]])/(Operations[[#This Row],[Annual Use]])))</f>
        <v>0</v>
      </c>
      <c r="S98" s="200">
        <f>IF(Operations[[#This Row],[Annual Use]]=0,0,Operations[[#This Row],[Calc Beg Yr. Value]]*'General Variables'!$B$7/Operations[[#This Row],[Annual Use]])</f>
        <v>0</v>
      </c>
      <c r="T98" s="200">
        <f>IF(Operations[[#This Row],[Annual Use]]=0,0,Operations[[#This Row],[Calc Beg Yr. Value]]*'General Variables'!$B$8/Operations[[#This Row],[Annual Use]])</f>
        <v>0</v>
      </c>
      <c r="U98" s="201">
        <f>SUM(Operations[[#This Row],[Depreciation per Unit]:[Opportunity Cost per Unit]])</f>
        <v>0</v>
      </c>
    </row>
    <row r="99" spans="1:21" ht="12.75" customHeight="1">
      <c r="A99" s="204"/>
      <c r="B99" s="205"/>
      <c r="C99" s="206"/>
      <c r="D99" s="206"/>
      <c r="E99" s="206"/>
      <c r="F99" s="225"/>
      <c r="G99" s="206"/>
      <c r="H99" s="206"/>
      <c r="I99" s="226"/>
      <c r="J99" s="226"/>
      <c r="K99" s="206"/>
      <c r="L99" s="226"/>
      <c r="M99" s="224"/>
      <c r="N99" s="19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9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9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9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9" s="199">
        <f>IF(Operations[[#This Row],[Calc List Price]]=0,0,IF(Operations[[#This Row],[Units per Hour]]*Operations[[#This Row],[Annual Use]]=0,0,(Operations[[#This Row],[Calc Beg Yr. Value]]-Operations[[#This Row],[Calc End Yr. Value]])/(Operations[[#This Row],[Annual Use]])))</f>
        <v>0</v>
      </c>
      <c r="S99" s="200">
        <f>IF(Operations[[#This Row],[Annual Use]]=0,0,Operations[[#This Row],[Calc Beg Yr. Value]]*'General Variables'!$B$7/Operations[[#This Row],[Annual Use]])</f>
        <v>0</v>
      </c>
      <c r="T99" s="200">
        <f>IF(Operations[[#This Row],[Annual Use]]=0,0,Operations[[#This Row],[Calc Beg Yr. Value]]*'General Variables'!$B$8/Operations[[#This Row],[Annual Use]])</f>
        <v>0</v>
      </c>
      <c r="U99" s="201">
        <f>SUM(Operations[[#This Row],[Depreciation per Unit]:[Opportunity Cost per Unit]])</f>
        <v>0</v>
      </c>
    </row>
    <row r="100" spans="1:21" ht="12.75" customHeight="1">
      <c r="A100" s="221"/>
      <c r="B100" s="222"/>
      <c r="C100" s="223"/>
      <c r="D100" s="223"/>
      <c r="E100" s="207"/>
      <c r="F100" s="208"/>
      <c r="G100" s="207"/>
      <c r="H100" s="207"/>
      <c r="I100" s="209"/>
      <c r="J100" s="210"/>
      <c r="K100" s="223"/>
      <c r="L100" s="208"/>
      <c r="M100" s="224"/>
      <c r="N100"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0" s="184">
        <f>IF(Operations[[#This Row],[Calc List Price]]=0,0,IF(Operations[[#This Row],[Units per Hour]]*Operations[[#This Row],[Annual Use]]=0,0,(Operations[[#This Row],[Calc Beg Yr. Value]]-Operations[[#This Row],[Calc End Yr. Value]])/(Operations[[#This Row],[Annual Use]])))</f>
        <v>0</v>
      </c>
      <c r="S100" s="185">
        <f>IF(Operations[[#This Row],[Annual Use]]=0,0,Operations[[#This Row],[Calc Beg Yr. Value]]*'General Variables'!$B$7/Operations[[#This Row],[Annual Use]])</f>
        <v>0</v>
      </c>
      <c r="T100" s="185">
        <f>IF(Operations[[#This Row],[Annual Use]]=0,0,Operations[[#This Row],[Calc Beg Yr. Value]]*'General Variables'!$B$8/Operations[[#This Row],[Annual Use]])</f>
        <v>0</v>
      </c>
      <c r="U100" s="185">
        <f>SUM(Operations[[#This Row],[Depreciation per Unit]:[Opportunity Cost per Unit]])</f>
        <v>0</v>
      </c>
    </row>
    <row r="101" spans="1:21" ht="12.75" customHeight="1">
      <c r="A101" s="221"/>
      <c r="B101" s="222"/>
      <c r="C101" s="223"/>
      <c r="D101" s="223"/>
      <c r="E101" s="223"/>
      <c r="F101" s="208"/>
      <c r="G101" s="207"/>
      <c r="H101" s="223"/>
      <c r="I101" s="210"/>
      <c r="J101" s="210"/>
      <c r="K101" s="223"/>
      <c r="L101" s="208"/>
      <c r="M101" s="224"/>
      <c r="N101" s="16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8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6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67"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1" s="184">
        <f>IF(Operations[[#This Row],[Calc List Price]]=0,0,IF(Operations[[#This Row],[Units per Hour]]*Operations[[#This Row],[Annual Use]]=0,0,(Operations[[#This Row],[Calc Beg Yr. Value]]-Operations[[#This Row],[Calc End Yr. Value]])/(Operations[[#This Row],[Annual Use]])))</f>
        <v>0</v>
      </c>
      <c r="S101" s="185">
        <f>IF(Operations[[#This Row],[Annual Use]]=0,0,Operations[[#This Row],[Calc Beg Yr. Value]]*'General Variables'!$B$7/Operations[[#This Row],[Annual Use]])</f>
        <v>0</v>
      </c>
      <c r="T101" s="185">
        <f>IF(Operations[[#This Row],[Annual Use]]=0,0,Operations[[#This Row],[Calc Beg Yr. Value]]*'General Variables'!$B$8/Operations[[#This Row],[Annual Use]])</f>
        <v>0</v>
      </c>
      <c r="U101" s="185">
        <f>SUM(Operations[[#This Row],[Depreciation per Unit]:[Opportunity Cost per Unit]])</f>
        <v>0</v>
      </c>
    </row>
    <row r="102" spans="1:21">
      <c r="B102" s="186"/>
      <c r="C102" s="186"/>
      <c r="D102" s="186"/>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85"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sheetPr codeName="Sheet5"/>
  <dimension ref="A1:J121"/>
  <sheetViews>
    <sheetView showZeros="0" workbookViewId="0">
      <selection activeCell="H2" sqref="H2:H121"/>
    </sheetView>
  </sheetViews>
  <sheetFormatPr defaultRowHeight="12.75"/>
  <cols>
    <col min="1" max="1" width="9.140625" style="230"/>
    <col min="2" max="2" width="24.7109375" style="230" customWidth="1"/>
    <col min="3" max="3" width="13.85546875" style="230" customWidth="1"/>
    <col min="4" max="4" width="9.5703125" style="230" customWidth="1"/>
    <col min="5" max="5" width="9.28515625" style="230" customWidth="1"/>
    <col min="6" max="6" width="9" style="230" customWidth="1"/>
    <col min="7" max="7" width="16" style="231" customWidth="1"/>
    <col min="8" max="8" width="9.42578125" style="230" customWidth="1"/>
    <col min="9" max="16384" width="9.140625" style="230"/>
  </cols>
  <sheetData>
    <row r="1" spans="1:10" s="229" customFormat="1" ht="26.25" customHeight="1">
      <c r="A1" s="227" t="s">
        <v>542</v>
      </c>
      <c r="B1" s="228" t="s">
        <v>4</v>
      </c>
      <c r="C1" s="228" t="s">
        <v>5</v>
      </c>
      <c r="D1" s="228" t="s">
        <v>78</v>
      </c>
      <c r="E1" s="228" t="s">
        <v>79</v>
      </c>
      <c r="F1" s="228" t="s">
        <v>80</v>
      </c>
      <c r="G1" s="228" t="s">
        <v>82</v>
      </c>
      <c r="H1" s="228" t="s">
        <v>81</v>
      </c>
    </row>
    <row r="2" spans="1:10" ht="12.75" customHeight="1">
      <c r="A2" s="230">
        <v>1</v>
      </c>
      <c r="B2" s="234" t="s">
        <v>521</v>
      </c>
      <c r="C2" s="234" t="s">
        <v>446</v>
      </c>
      <c r="D2" s="234">
        <v>21</v>
      </c>
      <c r="E2" s="234" t="s">
        <v>83</v>
      </c>
      <c r="F2" s="234" t="s">
        <v>83</v>
      </c>
      <c r="G2" s="235">
        <v>1</v>
      </c>
      <c r="H2" s="232">
        <f t="shared" ref="H2:H33" si="0">IF(G2=0,0,D2/G2)</f>
        <v>21</v>
      </c>
    </row>
    <row r="3" spans="1:10" ht="12.75" customHeight="1">
      <c r="A3" s="230">
        <v>2</v>
      </c>
      <c r="B3" s="234" t="s">
        <v>523</v>
      </c>
      <c r="C3" s="234" t="s">
        <v>446</v>
      </c>
      <c r="D3" s="234">
        <v>21</v>
      </c>
      <c r="E3" s="234" t="s">
        <v>83</v>
      </c>
      <c r="F3" s="234" t="s">
        <v>83</v>
      </c>
      <c r="G3" s="235">
        <v>1</v>
      </c>
      <c r="H3" s="232">
        <f t="shared" si="0"/>
        <v>21</v>
      </c>
      <c r="J3" s="233"/>
    </row>
    <row r="4" spans="1:10" ht="12.75" customHeight="1">
      <c r="A4" s="230">
        <v>3</v>
      </c>
      <c r="B4" s="234" t="s">
        <v>517</v>
      </c>
      <c r="C4" s="234" t="s">
        <v>446</v>
      </c>
      <c r="D4" s="234">
        <v>21</v>
      </c>
      <c r="E4" s="234" t="s">
        <v>83</v>
      </c>
      <c r="F4" s="234" t="s">
        <v>83</v>
      </c>
      <c r="G4" s="235">
        <v>1</v>
      </c>
      <c r="H4" s="232">
        <f t="shared" si="0"/>
        <v>21</v>
      </c>
      <c r="J4" s="233"/>
    </row>
    <row r="5" spans="1:10" ht="12.75" customHeight="1">
      <c r="A5" s="230">
        <v>4</v>
      </c>
      <c r="B5" s="234" t="s">
        <v>519</v>
      </c>
      <c r="C5" s="234" t="s">
        <v>446</v>
      </c>
      <c r="D5" s="234">
        <v>21</v>
      </c>
      <c r="E5" s="234" t="s">
        <v>83</v>
      </c>
      <c r="F5" s="234" t="s">
        <v>83</v>
      </c>
      <c r="G5" s="235">
        <v>1</v>
      </c>
      <c r="H5" s="232">
        <f t="shared" si="0"/>
        <v>21</v>
      </c>
      <c r="J5" s="233"/>
    </row>
    <row r="6" spans="1:10" ht="12.75" customHeight="1">
      <c r="A6" s="230">
        <v>5</v>
      </c>
      <c r="B6" s="234" t="s">
        <v>518</v>
      </c>
      <c r="C6" s="234" t="s">
        <v>446</v>
      </c>
      <c r="D6" s="234">
        <v>11</v>
      </c>
      <c r="E6" s="234" t="s">
        <v>83</v>
      </c>
      <c r="F6" s="234" t="s">
        <v>83</v>
      </c>
      <c r="G6" s="235">
        <v>1</v>
      </c>
      <c r="H6" s="232">
        <f t="shared" si="0"/>
        <v>11</v>
      </c>
      <c r="J6" s="233"/>
    </row>
    <row r="7" spans="1:10" ht="12.75" customHeight="1">
      <c r="A7" s="230">
        <v>6</v>
      </c>
      <c r="B7" s="234" t="s">
        <v>520</v>
      </c>
      <c r="C7" s="234" t="s">
        <v>446</v>
      </c>
      <c r="D7" s="234">
        <v>11</v>
      </c>
      <c r="E7" s="234" t="s">
        <v>83</v>
      </c>
      <c r="F7" s="234" t="s">
        <v>83</v>
      </c>
      <c r="G7" s="235">
        <v>1</v>
      </c>
      <c r="H7" s="232">
        <f t="shared" si="0"/>
        <v>11</v>
      </c>
      <c r="J7" s="233"/>
    </row>
    <row r="8" spans="1:10" ht="12.75" customHeight="1">
      <c r="A8" s="230">
        <v>7</v>
      </c>
      <c r="B8" s="234" t="s">
        <v>522</v>
      </c>
      <c r="C8" s="234" t="s">
        <v>446</v>
      </c>
      <c r="D8" s="234">
        <v>30</v>
      </c>
      <c r="E8" s="234" t="s">
        <v>83</v>
      </c>
      <c r="F8" s="234" t="s">
        <v>83</v>
      </c>
      <c r="G8" s="235">
        <v>1</v>
      </c>
      <c r="H8" s="232">
        <f t="shared" si="0"/>
        <v>30</v>
      </c>
      <c r="J8" s="233"/>
    </row>
    <row r="9" spans="1:10" ht="12.75" customHeight="1">
      <c r="A9" s="230">
        <v>8</v>
      </c>
      <c r="B9" s="234" t="s">
        <v>524</v>
      </c>
      <c r="C9" s="234" t="s">
        <v>446</v>
      </c>
      <c r="D9" s="234">
        <v>8</v>
      </c>
      <c r="E9" s="234" t="s">
        <v>83</v>
      </c>
      <c r="F9" s="234" t="s">
        <v>83</v>
      </c>
      <c r="G9" s="235">
        <v>1</v>
      </c>
      <c r="H9" s="232">
        <f t="shared" si="0"/>
        <v>8</v>
      </c>
      <c r="J9" s="233"/>
    </row>
    <row r="10" spans="1:10" ht="12.75" customHeight="1">
      <c r="A10" s="230">
        <v>9</v>
      </c>
      <c r="B10" s="236" t="s">
        <v>18</v>
      </c>
      <c r="C10" s="237" t="s">
        <v>3</v>
      </c>
      <c r="D10" s="238">
        <v>7.5</v>
      </c>
      <c r="E10" s="239" t="s">
        <v>83</v>
      </c>
      <c r="F10" s="237" t="s">
        <v>83</v>
      </c>
      <c r="G10" s="235">
        <v>1</v>
      </c>
      <c r="H10" s="232">
        <f t="shared" si="0"/>
        <v>7.5</v>
      </c>
      <c r="J10" s="233"/>
    </row>
    <row r="11" spans="1:10" ht="12.75" customHeight="1">
      <c r="A11" s="230">
        <v>10</v>
      </c>
      <c r="B11" s="236" t="s">
        <v>22</v>
      </c>
      <c r="C11" s="237" t="s">
        <v>3</v>
      </c>
      <c r="D11" s="238">
        <v>12</v>
      </c>
      <c r="E11" s="239" t="s">
        <v>84</v>
      </c>
      <c r="F11" s="237" t="s">
        <v>76</v>
      </c>
      <c r="G11" s="235">
        <f>1517/2000</f>
        <v>0.75849999999999995</v>
      </c>
      <c r="H11" s="232">
        <f t="shared" si="0"/>
        <v>15.820698747528017</v>
      </c>
      <c r="J11" s="233"/>
    </row>
    <row r="12" spans="1:10" ht="12.75" customHeight="1">
      <c r="A12" s="230">
        <v>11</v>
      </c>
      <c r="B12" s="236" t="s">
        <v>25</v>
      </c>
      <c r="C12" s="237" t="s">
        <v>3</v>
      </c>
      <c r="D12" s="238">
        <v>6.5</v>
      </c>
      <c r="E12" s="239" t="s">
        <v>76</v>
      </c>
      <c r="F12" s="237" t="s">
        <v>76</v>
      </c>
      <c r="G12" s="235">
        <v>1</v>
      </c>
      <c r="H12" s="232">
        <f t="shared" si="0"/>
        <v>6.5</v>
      </c>
      <c r="J12" s="233"/>
    </row>
    <row r="13" spans="1:10" ht="12.75" customHeight="1">
      <c r="A13" s="230">
        <v>12</v>
      </c>
      <c r="B13" s="236" t="s">
        <v>31</v>
      </c>
      <c r="C13" s="237" t="s">
        <v>3</v>
      </c>
      <c r="D13" s="238">
        <v>0.2</v>
      </c>
      <c r="E13" s="239" t="s">
        <v>489</v>
      </c>
      <c r="F13" s="237" t="s">
        <v>489</v>
      </c>
      <c r="G13" s="235">
        <v>1</v>
      </c>
      <c r="H13" s="232">
        <f t="shared" si="0"/>
        <v>0.2</v>
      </c>
      <c r="J13" s="233"/>
    </row>
    <row r="14" spans="1:10" ht="12.75" customHeight="1">
      <c r="A14" s="230">
        <v>13</v>
      </c>
      <c r="B14" s="236" t="s">
        <v>44</v>
      </c>
      <c r="C14" s="237" t="s">
        <v>3</v>
      </c>
      <c r="D14" s="238">
        <v>2</v>
      </c>
      <c r="E14" s="239" t="s">
        <v>76</v>
      </c>
      <c r="F14" s="237" t="s">
        <v>76</v>
      </c>
      <c r="G14" s="235">
        <v>1</v>
      </c>
      <c r="H14" s="232">
        <f t="shared" si="0"/>
        <v>2</v>
      </c>
    </row>
    <row r="15" spans="1:10" ht="12.75" customHeight="1">
      <c r="A15" s="230">
        <v>14</v>
      </c>
      <c r="B15" s="234" t="s">
        <v>505</v>
      </c>
      <c r="C15" s="234" t="s">
        <v>3</v>
      </c>
      <c r="D15" s="154">
        <v>0.1</v>
      </c>
      <c r="E15" s="234" t="s">
        <v>85</v>
      </c>
      <c r="F15" s="234" t="s">
        <v>85</v>
      </c>
      <c r="G15" s="235">
        <v>1</v>
      </c>
      <c r="H15" s="232">
        <f t="shared" si="0"/>
        <v>0.1</v>
      </c>
      <c r="J15" s="233"/>
    </row>
    <row r="16" spans="1:10" ht="12.75" customHeight="1">
      <c r="A16" s="230">
        <v>15</v>
      </c>
      <c r="B16" s="236" t="s">
        <v>45</v>
      </c>
      <c r="C16" s="237" t="s">
        <v>3</v>
      </c>
      <c r="D16" s="238">
        <v>3</v>
      </c>
      <c r="E16" s="239" t="s">
        <v>76</v>
      </c>
      <c r="F16" s="237" t="s">
        <v>76</v>
      </c>
      <c r="G16" s="235">
        <v>1</v>
      </c>
      <c r="H16" s="232">
        <f t="shared" si="0"/>
        <v>3</v>
      </c>
      <c r="J16" s="233"/>
    </row>
    <row r="17" spans="1:10" ht="12.75" customHeight="1">
      <c r="A17" s="230">
        <v>16</v>
      </c>
      <c r="B17" s="236" t="s">
        <v>469</v>
      </c>
      <c r="C17" s="237" t="s">
        <v>3</v>
      </c>
      <c r="D17" s="238">
        <v>0.15</v>
      </c>
      <c r="E17" s="239" t="s">
        <v>489</v>
      </c>
      <c r="F17" s="237" t="s">
        <v>85</v>
      </c>
      <c r="G17" s="235">
        <f>60/100</f>
        <v>0.6</v>
      </c>
      <c r="H17" s="232">
        <f t="shared" si="0"/>
        <v>0.25</v>
      </c>
      <c r="J17" s="233"/>
    </row>
    <row r="18" spans="1:10" ht="12.75" customHeight="1">
      <c r="A18" s="230">
        <v>17</v>
      </c>
      <c r="B18" s="240" t="s">
        <v>460</v>
      </c>
      <c r="C18" s="240" t="s">
        <v>3</v>
      </c>
      <c r="D18" s="154">
        <v>0.2</v>
      </c>
      <c r="E18" s="240" t="s">
        <v>85</v>
      </c>
      <c r="F18" s="240" t="s">
        <v>85</v>
      </c>
      <c r="G18" s="235">
        <v>1</v>
      </c>
      <c r="H18" s="232">
        <f t="shared" si="0"/>
        <v>0.2</v>
      </c>
    </row>
    <row r="19" spans="1:10" ht="12.75" customHeight="1">
      <c r="A19" s="230">
        <v>18</v>
      </c>
      <c r="B19" s="240" t="s">
        <v>461</v>
      </c>
      <c r="C19" s="240" t="s">
        <v>3</v>
      </c>
      <c r="D19" s="154">
        <v>0.25</v>
      </c>
      <c r="E19" s="240" t="s">
        <v>85</v>
      </c>
      <c r="F19" s="240" t="s">
        <v>85</v>
      </c>
      <c r="G19" s="235">
        <v>1</v>
      </c>
      <c r="H19" s="232">
        <f t="shared" si="0"/>
        <v>0.25</v>
      </c>
      <c r="J19" s="233"/>
    </row>
    <row r="20" spans="1:10" ht="12.75" customHeight="1">
      <c r="A20" s="230">
        <v>19</v>
      </c>
      <c r="B20" s="236" t="s">
        <v>46</v>
      </c>
      <c r="C20" s="237" t="s">
        <v>3</v>
      </c>
      <c r="D20" s="238">
        <v>0.1</v>
      </c>
      <c r="E20" s="239" t="s">
        <v>489</v>
      </c>
      <c r="F20" s="237" t="s">
        <v>489</v>
      </c>
      <c r="G20" s="235">
        <v>1</v>
      </c>
      <c r="H20" s="232">
        <f t="shared" si="0"/>
        <v>0.1</v>
      </c>
      <c r="J20" s="233"/>
    </row>
    <row r="21" spans="1:10" ht="12.75" customHeight="1">
      <c r="A21" s="230">
        <v>20</v>
      </c>
      <c r="B21" s="236" t="s">
        <v>66</v>
      </c>
      <c r="C21" s="237" t="s">
        <v>3</v>
      </c>
      <c r="D21" s="241">
        <v>6</v>
      </c>
      <c r="E21" s="242" t="s">
        <v>83</v>
      </c>
      <c r="F21" s="237" t="s">
        <v>83</v>
      </c>
      <c r="G21" s="235">
        <v>1</v>
      </c>
      <c r="H21" s="232">
        <f t="shared" si="0"/>
        <v>6</v>
      </c>
      <c r="J21" s="233"/>
    </row>
    <row r="22" spans="1:10" ht="12.75" customHeight="1">
      <c r="A22" s="230">
        <v>21</v>
      </c>
      <c r="B22" s="234" t="s">
        <v>502</v>
      </c>
      <c r="C22" s="234" t="s">
        <v>7</v>
      </c>
      <c r="D22" s="243">
        <v>2.08</v>
      </c>
      <c r="E22" s="151" t="s">
        <v>490</v>
      </c>
      <c r="F22" s="234" t="s">
        <v>490</v>
      </c>
      <c r="G22" s="235">
        <v>1</v>
      </c>
      <c r="H22" s="232">
        <f t="shared" si="0"/>
        <v>2.08</v>
      </c>
      <c r="J22" s="233"/>
    </row>
    <row r="23" spans="1:10" ht="12.75" customHeight="1">
      <c r="A23" s="230">
        <v>22</v>
      </c>
      <c r="B23" s="236" t="s">
        <v>6</v>
      </c>
      <c r="C23" s="237" t="s">
        <v>7</v>
      </c>
      <c r="D23" s="241">
        <v>4.5</v>
      </c>
      <c r="E23" s="242" t="s">
        <v>490</v>
      </c>
      <c r="F23" s="237" t="s">
        <v>490</v>
      </c>
      <c r="G23" s="235">
        <v>1</v>
      </c>
      <c r="H23" s="232">
        <f t="shared" si="0"/>
        <v>4.5</v>
      </c>
    </row>
    <row r="24" spans="1:10" ht="12.75" customHeight="1">
      <c r="A24" s="230">
        <v>23</v>
      </c>
      <c r="B24" s="236" t="s">
        <v>8</v>
      </c>
      <c r="C24" s="237" t="s">
        <v>7</v>
      </c>
      <c r="D24" s="241">
        <v>4.5999999999999996</v>
      </c>
      <c r="E24" s="242" t="s">
        <v>490</v>
      </c>
      <c r="F24" s="237" t="s">
        <v>490</v>
      </c>
      <c r="G24" s="235">
        <v>1</v>
      </c>
      <c r="H24" s="232">
        <f t="shared" si="0"/>
        <v>4.5999999999999996</v>
      </c>
      <c r="J24" s="233"/>
    </row>
    <row r="25" spans="1:10" ht="12.75" customHeight="1">
      <c r="A25" s="230">
        <v>24</v>
      </c>
      <c r="B25" s="236" t="s">
        <v>9</v>
      </c>
      <c r="C25" s="237" t="s">
        <v>7</v>
      </c>
      <c r="D25" s="241">
        <v>0.38</v>
      </c>
      <c r="E25" s="242" t="s">
        <v>491</v>
      </c>
      <c r="F25" s="244" t="s">
        <v>491</v>
      </c>
      <c r="G25" s="235">
        <v>1</v>
      </c>
      <c r="H25" s="232">
        <f t="shared" si="0"/>
        <v>0.38</v>
      </c>
      <c r="J25" s="233"/>
    </row>
    <row r="26" spans="1:10" ht="12.75" customHeight="1">
      <c r="A26" s="230">
        <v>25</v>
      </c>
      <c r="B26" s="245" t="s">
        <v>13</v>
      </c>
      <c r="C26" s="237" t="s">
        <v>7</v>
      </c>
      <c r="D26" s="241">
        <v>0.53</v>
      </c>
      <c r="E26" s="242" t="s">
        <v>491</v>
      </c>
      <c r="F26" s="244" t="s">
        <v>497</v>
      </c>
      <c r="G26" s="235">
        <v>1</v>
      </c>
      <c r="H26" s="232">
        <f t="shared" si="0"/>
        <v>0.53</v>
      </c>
      <c r="J26" s="233"/>
    </row>
    <row r="27" spans="1:10" ht="12.75" customHeight="1">
      <c r="A27" s="230">
        <v>26</v>
      </c>
      <c r="B27" s="236" t="s">
        <v>14</v>
      </c>
      <c r="C27" s="237" t="s">
        <v>7</v>
      </c>
      <c r="D27" s="241">
        <v>2.1</v>
      </c>
      <c r="E27" s="242" t="s">
        <v>490</v>
      </c>
      <c r="F27" s="244" t="s">
        <v>497</v>
      </c>
      <c r="G27" s="235">
        <v>3</v>
      </c>
      <c r="H27" s="232">
        <f t="shared" si="0"/>
        <v>0.70000000000000007</v>
      </c>
      <c r="J27" s="233"/>
    </row>
    <row r="28" spans="1:10" ht="12.75" customHeight="1">
      <c r="A28" s="230">
        <v>27</v>
      </c>
      <c r="B28" s="234" t="s">
        <v>501</v>
      </c>
      <c r="C28" s="234" t="s">
        <v>7</v>
      </c>
      <c r="D28" s="243">
        <v>1.88</v>
      </c>
      <c r="E28" s="151" t="s">
        <v>490</v>
      </c>
      <c r="F28" s="234" t="s">
        <v>497</v>
      </c>
      <c r="G28" s="235">
        <v>3.55</v>
      </c>
      <c r="H28" s="232">
        <f t="shared" si="0"/>
        <v>0.52957746478873235</v>
      </c>
      <c r="J28" s="233"/>
    </row>
    <row r="29" spans="1:10" ht="12.75" customHeight="1">
      <c r="A29" s="230">
        <v>28</v>
      </c>
      <c r="B29" s="236" t="s">
        <v>15</v>
      </c>
      <c r="C29" s="237" t="s">
        <v>7</v>
      </c>
      <c r="D29" s="241">
        <v>0.6</v>
      </c>
      <c r="E29" s="242" t="s">
        <v>86</v>
      </c>
      <c r="F29" s="244" t="s">
        <v>497</v>
      </c>
      <c r="G29" s="235">
        <v>1</v>
      </c>
      <c r="H29" s="232">
        <f t="shared" si="0"/>
        <v>0.6</v>
      </c>
      <c r="J29" s="233"/>
    </row>
    <row r="30" spans="1:10" ht="12.75" customHeight="1">
      <c r="A30" s="230">
        <v>29</v>
      </c>
      <c r="B30" s="236" t="s">
        <v>16</v>
      </c>
      <c r="C30" s="237" t="s">
        <v>7</v>
      </c>
      <c r="D30" s="241">
        <v>0.48</v>
      </c>
      <c r="E30" s="246" t="s">
        <v>86</v>
      </c>
      <c r="F30" s="244" t="s">
        <v>497</v>
      </c>
      <c r="G30" s="235">
        <v>1</v>
      </c>
      <c r="H30" s="232">
        <f t="shared" si="0"/>
        <v>0.48</v>
      </c>
      <c r="J30" s="233"/>
    </row>
    <row r="31" spans="1:10" ht="12.75" customHeight="1">
      <c r="A31" s="230">
        <v>30</v>
      </c>
      <c r="B31" s="236" t="s">
        <v>73</v>
      </c>
      <c r="C31" s="237" t="s">
        <v>7</v>
      </c>
      <c r="D31" s="241">
        <v>6</v>
      </c>
      <c r="E31" s="242" t="s">
        <v>76</v>
      </c>
      <c r="F31" s="237" t="s">
        <v>76</v>
      </c>
      <c r="G31" s="235">
        <v>1</v>
      </c>
      <c r="H31" s="232">
        <f t="shared" si="0"/>
        <v>6</v>
      </c>
      <c r="J31" s="233"/>
    </row>
    <row r="32" spans="1:10" ht="12.75" customHeight="1">
      <c r="A32" s="230">
        <v>31</v>
      </c>
      <c r="B32" s="234" t="s">
        <v>533</v>
      </c>
      <c r="C32" s="234" t="s">
        <v>48</v>
      </c>
      <c r="D32" s="243">
        <v>4.5</v>
      </c>
      <c r="E32" s="151" t="s">
        <v>493</v>
      </c>
      <c r="F32" s="234" t="s">
        <v>493</v>
      </c>
      <c r="G32" s="235">
        <v>1</v>
      </c>
      <c r="H32" s="232">
        <f t="shared" si="0"/>
        <v>4.5</v>
      </c>
      <c r="J32" s="233"/>
    </row>
    <row r="33" spans="1:10" ht="12.75" customHeight="1">
      <c r="A33" s="230">
        <v>32</v>
      </c>
      <c r="B33" s="236" t="s">
        <v>47</v>
      </c>
      <c r="C33" s="237" t="s">
        <v>48</v>
      </c>
      <c r="D33" s="241">
        <v>400</v>
      </c>
      <c r="E33" s="242" t="s">
        <v>490</v>
      </c>
      <c r="F33" s="237" t="s">
        <v>492</v>
      </c>
      <c r="G33" s="235">
        <v>126</v>
      </c>
      <c r="H33" s="232">
        <f t="shared" si="0"/>
        <v>3.1746031746031744</v>
      </c>
      <c r="J33" s="233"/>
    </row>
    <row r="34" spans="1:10" ht="12.75" customHeight="1">
      <c r="A34" s="230">
        <v>33</v>
      </c>
      <c r="B34" s="236" t="s">
        <v>69</v>
      </c>
      <c r="C34" s="237" t="s">
        <v>48</v>
      </c>
      <c r="D34" s="241">
        <v>330</v>
      </c>
      <c r="E34" s="242" t="s">
        <v>490</v>
      </c>
      <c r="F34" s="244" t="s">
        <v>492</v>
      </c>
      <c r="G34" s="235">
        <v>126</v>
      </c>
      <c r="H34" s="232">
        <f t="shared" ref="H34:H65" si="1">IF(G34=0,0,D34/G34)</f>
        <v>2.6190476190476191</v>
      </c>
      <c r="J34" s="233"/>
    </row>
    <row r="35" spans="1:10" ht="12.75" customHeight="1">
      <c r="A35" s="230">
        <v>34</v>
      </c>
      <c r="B35" s="236" t="s">
        <v>10</v>
      </c>
      <c r="C35" s="237" t="s">
        <v>11</v>
      </c>
      <c r="D35" s="247">
        <v>14</v>
      </c>
      <c r="E35" s="151" t="s">
        <v>490</v>
      </c>
      <c r="F35" s="237" t="s">
        <v>493</v>
      </c>
      <c r="G35" s="235">
        <v>8</v>
      </c>
      <c r="H35" s="232">
        <f t="shared" si="1"/>
        <v>1.75</v>
      </c>
    </row>
    <row r="36" spans="1:10" ht="12.75" customHeight="1">
      <c r="A36" s="230">
        <v>35</v>
      </c>
      <c r="B36" s="236" t="s">
        <v>12</v>
      </c>
      <c r="C36" s="237" t="s">
        <v>11</v>
      </c>
      <c r="D36" s="247">
        <v>17.5</v>
      </c>
      <c r="E36" s="151" t="s">
        <v>490</v>
      </c>
      <c r="F36" s="237" t="s">
        <v>493</v>
      </c>
      <c r="G36" s="235">
        <v>8</v>
      </c>
      <c r="H36" s="232">
        <f t="shared" si="1"/>
        <v>2.1875</v>
      </c>
      <c r="J36" s="233"/>
    </row>
    <row r="37" spans="1:10" ht="12.75" customHeight="1">
      <c r="A37" s="230">
        <v>36</v>
      </c>
      <c r="B37" s="236" t="s">
        <v>17</v>
      </c>
      <c r="C37" s="237" t="s">
        <v>11</v>
      </c>
      <c r="D37" s="247">
        <v>25</v>
      </c>
      <c r="E37" s="151" t="s">
        <v>490</v>
      </c>
      <c r="F37" s="237" t="s">
        <v>494</v>
      </c>
      <c r="G37" s="235">
        <v>4</v>
      </c>
      <c r="H37" s="232">
        <f t="shared" si="1"/>
        <v>6.25</v>
      </c>
      <c r="J37" s="233"/>
    </row>
    <row r="38" spans="1:10" ht="12.75" customHeight="1">
      <c r="A38" s="230">
        <v>37</v>
      </c>
      <c r="B38" s="236" t="s">
        <v>462</v>
      </c>
      <c r="C38" s="237" t="s">
        <v>11</v>
      </c>
      <c r="D38" s="247">
        <v>230</v>
      </c>
      <c r="E38" s="151" t="s">
        <v>494</v>
      </c>
      <c r="F38" s="237" t="s">
        <v>492</v>
      </c>
      <c r="G38" s="235">
        <v>32</v>
      </c>
      <c r="H38" s="232">
        <f t="shared" si="1"/>
        <v>7.1875</v>
      </c>
      <c r="J38" s="233"/>
    </row>
    <row r="39" spans="1:10" ht="12.75" customHeight="1">
      <c r="A39" s="230">
        <v>38</v>
      </c>
      <c r="B39" s="236" t="s">
        <v>21</v>
      </c>
      <c r="C39" s="237" t="s">
        <v>11</v>
      </c>
      <c r="D39" s="247">
        <v>8</v>
      </c>
      <c r="E39" s="247" t="s">
        <v>492</v>
      </c>
      <c r="F39" s="244" t="s">
        <v>492</v>
      </c>
      <c r="G39" s="235">
        <v>1</v>
      </c>
      <c r="H39" s="232">
        <f t="shared" si="1"/>
        <v>8</v>
      </c>
      <c r="J39" s="233"/>
    </row>
    <row r="40" spans="1:10" ht="12.75" customHeight="1">
      <c r="A40" s="230">
        <v>39</v>
      </c>
      <c r="B40" s="248" t="s">
        <v>433</v>
      </c>
      <c r="C40" s="237" t="s">
        <v>11</v>
      </c>
      <c r="D40" s="247">
        <v>75</v>
      </c>
      <c r="E40" s="151" t="s">
        <v>491</v>
      </c>
      <c r="F40" s="237" t="s">
        <v>492</v>
      </c>
      <c r="G40" s="235">
        <v>16</v>
      </c>
      <c r="H40" s="232">
        <f t="shared" si="1"/>
        <v>4.6875</v>
      </c>
      <c r="J40" s="233"/>
    </row>
    <row r="41" spans="1:10" ht="12.75" customHeight="1">
      <c r="A41" s="230">
        <v>40</v>
      </c>
      <c r="B41" s="249" t="s">
        <v>437</v>
      </c>
      <c r="C41" s="240" t="s">
        <v>11</v>
      </c>
      <c r="D41" s="243">
        <v>4.5999999999999996</v>
      </c>
      <c r="E41" s="247" t="s">
        <v>492</v>
      </c>
      <c r="F41" s="240" t="s">
        <v>492</v>
      </c>
      <c r="G41" s="235">
        <v>1</v>
      </c>
      <c r="H41" s="232">
        <f t="shared" si="1"/>
        <v>4.5999999999999996</v>
      </c>
      <c r="J41" s="233"/>
    </row>
    <row r="42" spans="1:10" ht="12.75" customHeight="1">
      <c r="A42" s="230">
        <v>41</v>
      </c>
      <c r="B42" s="234" t="s">
        <v>503</v>
      </c>
      <c r="C42" s="234" t="s">
        <v>11</v>
      </c>
      <c r="D42" s="243">
        <v>110</v>
      </c>
      <c r="E42" s="151" t="s">
        <v>490</v>
      </c>
      <c r="F42" s="234" t="s">
        <v>493</v>
      </c>
      <c r="G42" s="235">
        <v>8</v>
      </c>
      <c r="H42" s="232">
        <f t="shared" si="1"/>
        <v>13.75</v>
      </c>
      <c r="J42" s="233"/>
    </row>
    <row r="43" spans="1:10" ht="12.75" customHeight="1">
      <c r="A43" s="230">
        <v>42</v>
      </c>
      <c r="B43" s="236" t="s">
        <v>23</v>
      </c>
      <c r="C43" s="237" t="s">
        <v>11</v>
      </c>
      <c r="D43" s="247">
        <v>50</v>
      </c>
      <c r="E43" s="151" t="s">
        <v>490</v>
      </c>
      <c r="F43" s="237" t="s">
        <v>494</v>
      </c>
      <c r="G43" s="235">
        <v>4</v>
      </c>
      <c r="H43" s="232">
        <f t="shared" si="1"/>
        <v>12.5</v>
      </c>
      <c r="J43" s="233"/>
    </row>
    <row r="44" spans="1:10" ht="12.75" customHeight="1">
      <c r="A44" s="230">
        <v>43</v>
      </c>
      <c r="B44" s="236" t="s">
        <v>29</v>
      </c>
      <c r="C44" s="237" t="s">
        <v>11</v>
      </c>
      <c r="D44" s="247">
        <v>1.1299999999999999</v>
      </c>
      <c r="E44" s="247" t="s">
        <v>493</v>
      </c>
      <c r="F44" s="237" t="s">
        <v>493</v>
      </c>
      <c r="G44" s="235">
        <v>1</v>
      </c>
      <c r="H44" s="232">
        <f t="shared" si="1"/>
        <v>1.1299999999999999</v>
      </c>
    </row>
    <row r="45" spans="1:10" ht="12.75" customHeight="1">
      <c r="A45" s="230">
        <v>44</v>
      </c>
      <c r="B45" s="236" t="s">
        <v>30</v>
      </c>
      <c r="C45" s="237" t="s">
        <v>11</v>
      </c>
      <c r="D45" s="247">
        <v>58</v>
      </c>
      <c r="E45" s="151" t="s">
        <v>490</v>
      </c>
      <c r="F45" s="237" t="s">
        <v>492</v>
      </c>
      <c r="G45" s="235">
        <v>126</v>
      </c>
      <c r="H45" s="232">
        <f t="shared" si="1"/>
        <v>0.46031746031746029</v>
      </c>
      <c r="J45" s="233"/>
    </row>
    <row r="46" spans="1:10" ht="12.75" customHeight="1">
      <c r="A46" s="230">
        <v>45</v>
      </c>
      <c r="B46" s="236" t="s">
        <v>32</v>
      </c>
      <c r="C46" s="237" t="s">
        <v>11</v>
      </c>
      <c r="D46" s="240">
        <v>134</v>
      </c>
      <c r="E46" s="234" t="s">
        <v>490</v>
      </c>
      <c r="F46" s="237" t="s">
        <v>493</v>
      </c>
      <c r="G46" s="235">
        <v>8</v>
      </c>
      <c r="H46" s="232">
        <f t="shared" si="1"/>
        <v>16.75</v>
      </c>
      <c r="J46" s="233"/>
    </row>
    <row r="47" spans="1:10" ht="12.75" customHeight="1">
      <c r="A47" s="230">
        <v>46</v>
      </c>
      <c r="B47" s="250" t="s">
        <v>500</v>
      </c>
      <c r="C47" s="237" t="s">
        <v>11</v>
      </c>
      <c r="D47" s="240">
        <v>46</v>
      </c>
      <c r="E47" s="234" t="s">
        <v>490</v>
      </c>
      <c r="F47" s="237" t="s">
        <v>493</v>
      </c>
      <c r="G47" s="235">
        <v>8</v>
      </c>
      <c r="H47" s="232">
        <f t="shared" si="1"/>
        <v>5.75</v>
      </c>
      <c r="J47" s="233"/>
    </row>
    <row r="48" spans="1:10" ht="12.75" customHeight="1">
      <c r="A48" s="230">
        <v>47</v>
      </c>
      <c r="B48" s="236" t="s">
        <v>37</v>
      </c>
      <c r="C48" s="237" t="s">
        <v>11</v>
      </c>
      <c r="D48" s="240">
        <v>34</v>
      </c>
      <c r="E48" s="234" t="s">
        <v>490</v>
      </c>
      <c r="F48" s="237" t="s">
        <v>494</v>
      </c>
      <c r="G48" s="235">
        <v>4</v>
      </c>
      <c r="H48" s="232">
        <f t="shared" si="1"/>
        <v>8.5</v>
      </c>
      <c r="J48" s="233"/>
    </row>
    <row r="49" spans="1:10" ht="12.75" customHeight="1">
      <c r="A49" s="230">
        <v>48</v>
      </c>
      <c r="B49" s="236" t="s">
        <v>39</v>
      </c>
      <c r="C49" s="237" t="s">
        <v>11</v>
      </c>
      <c r="D49" s="240">
        <v>12</v>
      </c>
      <c r="E49" s="240" t="s">
        <v>490</v>
      </c>
      <c r="F49" s="237" t="s">
        <v>492</v>
      </c>
      <c r="G49" s="235">
        <v>128</v>
      </c>
      <c r="H49" s="232">
        <f t="shared" si="1"/>
        <v>9.375E-2</v>
      </c>
      <c r="J49" s="233"/>
    </row>
    <row r="50" spans="1:10" ht="12.75" customHeight="1">
      <c r="A50" s="230">
        <v>49</v>
      </c>
      <c r="B50" s="236" t="s">
        <v>40</v>
      </c>
      <c r="C50" s="237" t="s">
        <v>11</v>
      </c>
      <c r="D50" s="240">
        <v>38</v>
      </c>
      <c r="E50" s="240" t="s">
        <v>490</v>
      </c>
      <c r="F50" s="237" t="s">
        <v>493</v>
      </c>
      <c r="G50" s="235">
        <v>8</v>
      </c>
      <c r="H50" s="232">
        <f t="shared" si="1"/>
        <v>4.75</v>
      </c>
      <c r="J50" s="233"/>
    </row>
    <row r="51" spans="1:10" ht="12.75" customHeight="1">
      <c r="A51" s="230">
        <v>50</v>
      </c>
      <c r="B51" s="236" t="s">
        <v>49</v>
      </c>
      <c r="C51" s="237" t="s">
        <v>11</v>
      </c>
      <c r="D51" s="240">
        <v>15</v>
      </c>
      <c r="E51" s="240" t="s">
        <v>490</v>
      </c>
      <c r="F51" s="237" t="s">
        <v>492</v>
      </c>
      <c r="G51" s="235">
        <v>128</v>
      </c>
      <c r="H51" s="232">
        <f t="shared" si="1"/>
        <v>0.1171875</v>
      </c>
      <c r="J51" s="233"/>
    </row>
    <row r="52" spans="1:10" ht="12.75" customHeight="1">
      <c r="A52" s="230">
        <v>51</v>
      </c>
      <c r="B52" s="240" t="s">
        <v>434</v>
      </c>
      <c r="C52" s="240" t="s">
        <v>11</v>
      </c>
      <c r="D52" s="154">
        <v>70</v>
      </c>
      <c r="E52" s="234" t="s">
        <v>490</v>
      </c>
      <c r="F52" s="240" t="s">
        <v>494</v>
      </c>
      <c r="G52" s="235">
        <v>4</v>
      </c>
      <c r="H52" s="232">
        <f t="shared" si="1"/>
        <v>17.5</v>
      </c>
      <c r="J52" s="233"/>
    </row>
    <row r="53" spans="1:10" ht="12.75" customHeight="1">
      <c r="A53" s="230">
        <v>52</v>
      </c>
      <c r="B53" s="236" t="s">
        <v>54</v>
      </c>
      <c r="C53" s="237" t="s">
        <v>11</v>
      </c>
      <c r="D53" s="240">
        <v>0.17</v>
      </c>
      <c r="E53" s="240" t="s">
        <v>492</v>
      </c>
      <c r="F53" s="244" t="s">
        <v>492</v>
      </c>
      <c r="G53" s="235">
        <v>1</v>
      </c>
      <c r="H53" s="232">
        <f t="shared" si="1"/>
        <v>0.17</v>
      </c>
      <c r="J53" s="233"/>
    </row>
    <row r="54" spans="1:10" ht="12.75" customHeight="1">
      <c r="A54" s="230">
        <v>53</v>
      </c>
      <c r="B54" s="234" t="s">
        <v>532</v>
      </c>
      <c r="C54" s="234" t="s">
        <v>11</v>
      </c>
      <c r="D54" s="154">
        <v>197</v>
      </c>
      <c r="E54" s="234" t="s">
        <v>490</v>
      </c>
      <c r="F54" s="234" t="s">
        <v>492</v>
      </c>
      <c r="G54" s="235">
        <v>128</v>
      </c>
      <c r="H54" s="232">
        <f t="shared" si="1"/>
        <v>1.5390625</v>
      </c>
      <c r="J54" s="233"/>
    </row>
    <row r="55" spans="1:10" ht="12.75" customHeight="1">
      <c r="A55" s="230">
        <v>54</v>
      </c>
      <c r="B55" s="236" t="s">
        <v>56</v>
      </c>
      <c r="C55" s="237" t="s">
        <v>11</v>
      </c>
      <c r="D55" s="240">
        <v>14.5</v>
      </c>
      <c r="E55" s="240" t="s">
        <v>492</v>
      </c>
      <c r="F55" s="237" t="s">
        <v>492</v>
      </c>
      <c r="G55" s="235">
        <v>1</v>
      </c>
      <c r="H55" s="232">
        <f t="shared" si="1"/>
        <v>14.5</v>
      </c>
    </row>
    <row r="56" spans="1:10" ht="12.75" customHeight="1">
      <c r="A56" s="230">
        <v>55</v>
      </c>
      <c r="B56" s="236" t="s">
        <v>475</v>
      </c>
      <c r="C56" s="237" t="s">
        <v>11</v>
      </c>
      <c r="D56" s="240">
        <v>43</v>
      </c>
      <c r="E56" s="234" t="s">
        <v>490</v>
      </c>
      <c r="F56" s="237" t="s">
        <v>493</v>
      </c>
      <c r="G56" s="235">
        <v>8</v>
      </c>
      <c r="H56" s="232">
        <f t="shared" si="1"/>
        <v>5.375</v>
      </c>
      <c r="J56" s="233"/>
    </row>
    <row r="57" spans="1:10" ht="12.75" customHeight="1">
      <c r="A57" s="230">
        <v>56</v>
      </c>
      <c r="B57" s="236" t="s">
        <v>57</v>
      </c>
      <c r="C57" s="237" t="s">
        <v>11</v>
      </c>
      <c r="D57" s="240">
        <v>690</v>
      </c>
      <c r="E57" s="240" t="s">
        <v>490</v>
      </c>
      <c r="F57" s="237" t="s">
        <v>492</v>
      </c>
      <c r="G57" s="235">
        <v>128</v>
      </c>
      <c r="H57" s="232">
        <f t="shared" si="1"/>
        <v>5.390625</v>
      </c>
      <c r="J57" s="233"/>
    </row>
    <row r="58" spans="1:10" ht="12.75" customHeight="1">
      <c r="A58" s="230">
        <v>57</v>
      </c>
      <c r="B58" s="236" t="s">
        <v>58</v>
      </c>
      <c r="C58" s="237" t="s">
        <v>11</v>
      </c>
      <c r="D58" s="240">
        <v>68</v>
      </c>
      <c r="E58" s="240" t="s">
        <v>490</v>
      </c>
      <c r="F58" s="237" t="s">
        <v>493</v>
      </c>
      <c r="G58" s="235">
        <v>8</v>
      </c>
      <c r="H58" s="232">
        <f t="shared" si="1"/>
        <v>8.5</v>
      </c>
      <c r="J58" s="233"/>
    </row>
    <row r="59" spans="1:10" ht="12.75" customHeight="1">
      <c r="A59" s="230">
        <v>58</v>
      </c>
      <c r="B59" s="234" t="s">
        <v>529</v>
      </c>
      <c r="C59" s="234" t="s">
        <v>11</v>
      </c>
      <c r="D59" s="154">
        <v>690</v>
      </c>
      <c r="E59" s="234" t="s">
        <v>490</v>
      </c>
      <c r="F59" s="234" t="s">
        <v>492</v>
      </c>
      <c r="G59" s="235">
        <v>128</v>
      </c>
      <c r="H59" s="232">
        <f t="shared" si="1"/>
        <v>5.390625</v>
      </c>
      <c r="J59" s="233"/>
    </row>
    <row r="60" spans="1:10" ht="12.75" customHeight="1">
      <c r="A60" s="230">
        <v>59</v>
      </c>
      <c r="B60" s="236" t="s">
        <v>62</v>
      </c>
      <c r="C60" s="237" t="s">
        <v>11</v>
      </c>
      <c r="D60" s="240">
        <v>150</v>
      </c>
      <c r="E60" s="240" t="s">
        <v>490</v>
      </c>
      <c r="F60" s="237" t="s">
        <v>492</v>
      </c>
      <c r="G60" s="235">
        <v>128</v>
      </c>
      <c r="H60" s="232">
        <f t="shared" si="1"/>
        <v>1.171875</v>
      </c>
      <c r="J60" s="233"/>
    </row>
    <row r="61" spans="1:10" ht="12.75" customHeight="1">
      <c r="A61" s="230">
        <v>60</v>
      </c>
      <c r="B61" s="250" t="s">
        <v>499</v>
      </c>
      <c r="C61" s="237" t="s">
        <v>11</v>
      </c>
      <c r="D61" s="240">
        <v>42</v>
      </c>
      <c r="E61" s="234" t="s">
        <v>490</v>
      </c>
      <c r="F61" s="237" t="s">
        <v>493</v>
      </c>
      <c r="G61" s="235">
        <v>8</v>
      </c>
      <c r="H61" s="232">
        <f t="shared" si="1"/>
        <v>5.25</v>
      </c>
      <c r="J61" s="233"/>
    </row>
    <row r="62" spans="1:10" ht="12.75" customHeight="1">
      <c r="A62" s="230">
        <v>61</v>
      </c>
      <c r="B62" s="236" t="s">
        <v>435</v>
      </c>
      <c r="C62" s="237" t="s">
        <v>11</v>
      </c>
      <c r="D62" s="240">
        <v>618</v>
      </c>
      <c r="E62" s="234" t="s">
        <v>490</v>
      </c>
      <c r="F62" s="237" t="s">
        <v>492</v>
      </c>
      <c r="G62" s="235">
        <v>128</v>
      </c>
      <c r="H62" s="232">
        <f t="shared" si="1"/>
        <v>4.828125</v>
      </c>
      <c r="J62" s="233"/>
    </row>
    <row r="63" spans="1:10" ht="12.75" customHeight="1">
      <c r="A63" s="230">
        <v>62</v>
      </c>
      <c r="B63" s="236" t="s">
        <v>65</v>
      </c>
      <c r="C63" s="237" t="s">
        <v>11</v>
      </c>
      <c r="D63" s="240">
        <v>13</v>
      </c>
      <c r="E63" s="240" t="s">
        <v>492</v>
      </c>
      <c r="F63" s="237" t="s">
        <v>492</v>
      </c>
      <c r="G63" s="235">
        <v>1</v>
      </c>
      <c r="H63" s="232">
        <f t="shared" si="1"/>
        <v>13</v>
      </c>
    </row>
    <row r="64" spans="1:10" ht="12.75" customHeight="1">
      <c r="A64" s="230">
        <v>63</v>
      </c>
      <c r="B64" s="234" t="s">
        <v>504</v>
      </c>
      <c r="C64" s="234" t="s">
        <v>24</v>
      </c>
      <c r="D64" s="154">
        <v>105</v>
      </c>
      <c r="E64" s="234" t="s">
        <v>490</v>
      </c>
      <c r="F64" s="234" t="s">
        <v>492</v>
      </c>
      <c r="G64" s="235">
        <v>128</v>
      </c>
      <c r="H64" s="232">
        <f t="shared" si="1"/>
        <v>0.8203125</v>
      </c>
    </row>
    <row r="65" spans="1:10" ht="12.75" customHeight="1">
      <c r="A65" s="230">
        <v>64</v>
      </c>
      <c r="B65" s="234" t="s">
        <v>541</v>
      </c>
      <c r="C65" s="240" t="s">
        <v>24</v>
      </c>
      <c r="D65" s="154">
        <v>1.2</v>
      </c>
      <c r="E65" s="240" t="s">
        <v>492</v>
      </c>
      <c r="F65" s="240" t="s">
        <v>492</v>
      </c>
      <c r="G65" s="235">
        <v>1</v>
      </c>
      <c r="H65" s="232">
        <f t="shared" si="1"/>
        <v>1.2</v>
      </c>
    </row>
    <row r="66" spans="1:10" ht="12.75" customHeight="1">
      <c r="A66" s="230">
        <v>65</v>
      </c>
      <c r="B66" s="236" t="s">
        <v>463</v>
      </c>
      <c r="C66" s="237" t="s">
        <v>24</v>
      </c>
      <c r="D66" s="238">
        <v>290</v>
      </c>
      <c r="E66" s="239" t="s">
        <v>490</v>
      </c>
      <c r="F66" s="237" t="s">
        <v>492</v>
      </c>
      <c r="G66" s="235">
        <v>128</v>
      </c>
      <c r="H66" s="232">
        <f t="shared" ref="H66:H97" si="2">IF(G66=0,0,D66/G66)</f>
        <v>2.265625</v>
      </c>
    </row>
    <row r="67" spans="1:10" ht="12.75" customHeight="1">
      <c r="A67" s="230">
        <v>66</v>
      </c>
      <c r="B67" s="236" t="s">
        <v>464</v>
      </c>
      <c r="C67" s="237" t="s">
        <v>24</v>
      </c>
      <c r="D67" s="240">
        <v>5.25</v>
      </c>
      <c r="E67" s="240" t="s">
        <v>491</v>
      </c>
      <c r="F67" s="237" t="s">
        <v>491</v>
      </c>
      <c r="G67" s="235">
        <v>1</v>
      </c>
      <c r="H67" s="232">
        <f t="shared" si="2"/>
        <v>5.25</v>
      </c>
      <c r="J67" s="233"/>
    </row>
    <row r="68" spans="1:10" ht="12.75" customHeight="1">
      <c r="A68" s="230">
        <v>67</v>
      </c>
      <c r="B68" s="236" t="s">
        <v>50</v>
      </c>
      <c r="C68" s="237" t="s">
        <v>24</v>
      </c>
      <c r="D68" s="238">
        <v>2.5</v>
      </c>
      <c r="E68" s="239" t="s">
        <v>491</v>
      </c>
      <c r="F68" s="237" t="s">
        <v>491</v>
      </c>
      <c r="G68" s="235">
        <v>1</v>
      </c>
      <c r="H68" s="232">
        <f t="shared" si="2"/>
        <v>2.5</v>
      </c>
      <c r="J68" s="233"/>
    </row>
    <row r="69" spans="1:10" ht="12.75" customHeight="1">
      <c r="A69" s="230">
        <v>68</v>
      </c>
      <c r="B69" s="236" t="s">
        <v>51</v>
      </c>
      <c r="C69" s="237" t="s">
        <v>24</v>
      </c>
      <c r="D69" s="238">
        <v>46</v>
      </c>
      <c r="E69" s="239" t="s">
        <v>490</v>
      </c>
      <c r="F69" s="244" t="s">
        <v>493</v>
      </c>
      <c r="G69" s="235">
        <v>8</v>
      </c>
      <c r="H69" s="232">
        <f t="shared" si="2"/>
        <v>5.75</v>
      </c>
      <c r="J69" s="233"/>
    </row>
    <row r="70" spans="1:10" ht="12.75" customHeight="1">
      <c r="A70" s="230">
        <v>69</v>
      </c>
      <c r="B70" s="250" t="s">
        <v>540</v>
      </c>
      <c r="C70" s="237" t="s">
        <v>24</v>
      </c>
      <c r="D70" s="238">
        <v>230</v>
      </c>
      <c r="E70" s="239" t="s">
        <v>490</v>
      </c>
      <c r="F70" s="237" t="s">
        <v>492</v>
      </c>
      <c r="G70" s="235">
        <v>128</v>
      </c>
      <c r="H70" s="232">
        <f t="shared" si="2"/>
        <v>1.796875</v>
      </c>
    </row>
    <row r="71" spans="1:10" ht="12.75" customHeight="1">
      <c r="A71" s="230">
        <v>70</v>
      </c>
      <c r="B71" s="236" t="s">
        <v>59</v>
      </c>
      <c r="C71" s="237" t="s">
        <v>24</v>
      </c>
      <c r="D71" s="238">
        <v>6.15</v>
      </c>
      <c r="E71" s="239" t="s">
        <v>492</v>
      </c>
      <c r="F71" s="237" t="s">
        <v>492</v>
      </c>
      <c r="G71" s="235">
        <v>1</v>
      </c>
      <c r="H71" s="232">
        <f t="shared" si="2"/>
        <v>6.15</v>
      </c>
    </row>
    <row r="72" spans="1:10" ht="12.75" customHeight="1">
      <c r="A72" s="230">
        <v>71</v>
      </c>
      <c r="B72" s="236" t="s">
        <v>473</v>
      </c>
      <c r="C72" s="237" t="s">
        <v>24</v>
      </c>
      <c r="D72" s="238">
        <v>500</v>
      </c>
      <c r="E72" s="239" t="s">
        <v>490</v>
      </c>
      <c r="F72" s="237" t="s">
        <v>492</v>
      </c>
      <c r="G72" s="235">
        <v>128</v>
      </c>
      <c r="H72" s="232">
        <f t="shared" si="2"/>
        <v>3.90625</v>
      </c>
    </row>
    <row r="73" spans="1:10" ht="12.75" customHeight="1">
      <c r="A73" s="230">
        <v>72</v>
      </c>
      <c r="B73" s="236" t="s">
        <v>34</v>
      </c>
      <c r="C73" s="237" t="s">
        <v>35</v>
      </c>
      <c r="D73" s="238">
        <v>3.65</v>
      </c>
      <c r="E73" s="239" t="s">
        <v>83</v>
      </c>
      <c r="F73" s="237" t="s">
        <v>83</v>
      </c>
      <c r="G73" s="235">
        <v>1</v>
      </c>
      <c r="H73" s="232">
        <f t="shared" si="2"/>
        <v>3.65</v>
      </c>
    </row>
    <row r="74" spans="1:10" ht="12.75" customHeight="1">
      <c r="A74" s="230">
        <v>73</v>
      </c>
      <c r="B74" s="236" t="s">
        <v>36</v>
      </c>
      <c r="C74" s="237" t="s">
        <v>35</v>
      </c>
      <c r="D74" s="238">
        <f>2.25*130</f>
        <v>292.5</v>
      </c>
      <c r="E74" s="239" t="s">
        <v>87</v>
      </c>
      <c r="F74" s="237" t="s">
        <v>83</v>
      </c>
      <c r="G74" s="235">
        <v>130</v>
      </c>
      <c r="H74" s="232">
        <f t="shared" si="2"/>
        <v>2.25</v>
      </c>
      <c r="J74" s="233"/>
    </row>
    <row r="75" spans="1:10" ht="12.75" customHeight="1">
      <c r="A75" s="230">
        <v>74</v>
      </c>
      <c r="B75" s="236" t="s">
        <v>38</v>
      </c>
      <c r="C75" s="237" t="s">
        <v>35</v>
      </c>
      <c r="D75" s="238">
        <v>260</v>
      </c>
      <c r="E75" s="239" t="s">
        <v>87</v>
      </c>
      <c r="F75" s="237" t="s">
        <v>83</v>
      </c>
      <c r="G75" s="235">
        <v>130</v>
      </c>
      <c r="H75" s="232">
        <f t="shared" si="2"/>
        <v>2</v>
      </c>
      <c r="J75" s="233"/>
    </row>
    <row r="76" spans="1:10" ht="12.75" customHeight="1">
      <c r="A76" s="230">
        <v>75</v>
      </c>
      <c r="B76" s="236" t="s">
        <v>53</v>
      </c>
      <c r="C76" s="237" t="s">
        <v>35</v>
      </c>
      <c r="D76" s="238">
        <v>12</v>
      </c>
      <c r="E76" s="239" t="s">
        <v>495</v>
      </c>
      <c r="F76" s="237" t="s">
        <v>495</v>
      </c>
      <c r="G76" s="235">
        <v>1</v>
      </c>
      <c r="H76" s="232">
        <f t="shared" si="2"/>
        <v>12</v>
      </c>
      <c r="J76" s="233"/>
    </row>
    <row r="77" spans="1:10">
      <c r="A77" s="230">
        <v>76</v>
      </c>
      <c r="B77" s="251" t="s">
        <v>70</v>
      </c>
      <c r="C77" s="246" t="s">
        <v>35</v>
      </c>
      <c r="D77" s="241">
        <v>0.75</v>
      </c>
      <c r="E77" s="242" t="s">
        <v>84</v>
      </c>
      <c r="F77" s="246" t="s">
        <v>76</v>
      </c>
      <c r="G77" s="235">
        <f>1517/2000</f>
        <v>0.75849999999999995</v>
      </c>
      <c r="H77" s="232">
        <f t="shared" si="2"/>
        <v>0.98879367172050103</v>
      </c>
      <c r="J77" s="233"/>
    </row>
    <row r="78" spans="1:10">
      <c r="A78" s="230">
        <v>77</v>
      </c>
      <c r="B78" s="251" t="s">
        <v>71</v>
      </c>
      <c r="C78" s="246" t="s">
        <v>35</v>
      </c>
      <c r="D78" s="241">
        <v>0.5</v>
      </c>
      <c r="E78" s="242" t="s">
        <v>84</v>
      </c>
      <c r="F78" s="246" t="s">
        <v>76</v>
      </c>
      <c r="G78" s="235">
        <f>1313/2000</f>
        <v>0.65649999999999997</v>
      </c>
      <c r="H78" s="232">
        <f t="shared" si="2"/>
        <v>0.76161462300076166</v>
      </c>
      <c r="J78" s="233"/>
    </row>
    <row r="79" spans="1:10">
      <c r="A79" s="230">
        <v>78</v>
      </c>
      <c r="B79" s="251" t="s">
        <v>72</v>
      </c>
      <c r="C79" s="246" t="s">
        <v>35</v>
      </c>
      <c r="D79" s="241">
        <v>0.16</v>
      </c>
      <c r="E79" s="242" t="s">
        <v>84</v>
      </c>
      <c r="F79" s="246" t="s">
        <v>76</v>
      </c>
      <c r="G79" s="235">
        <f>62/2000</f>
        <v>3.1E-2</v>
      </c>
      <c r="H79" s="232">
        <f t="shared" si="2"/>
        <v>5.161290322580645</v>
      </c>
      <c r="J79" s="233"/>
    </row>
    <row r="80" spans="1:10">
      <c r="A80" s="230">
        <v>79</v>
      </c>
      <c r="B80" s="251" t="s">
        <v>74</v>
      </c>
      <c r="C80" s="246" t="s">
        <v>35</v>
      </c>
      <c r="D80" s="241">
        <v>40</v>
      </c>
      <c r="E80" s="242" t="s">
        <v>83</v>
      </c>
      <c r="F80" s="246" t="s">
        <v>83</v>
      </c>
      <c r="G80" s="235">
        <v>1</v>
      </c>
      <c r="H80" s="232">
        <f t="shared" si="2"/>
        <v>40</v>
      </c>
    </row>
    <row r="81" spans="1:10">
      <c r="A81" s="230">
        <v>80</v>
      </c>
      <c r="B81" s="251" t="s">
        <v>41</v>
      </c>
      <c r="C81" s="246" t="s">
        <v>42</v>
      </c>
      <c r="D81" s="241">
        <v>8</v>
      </c>
      <c r="E81" s="242" t="s">
        <v>83</v>
      </c>
      <c r="F81" s="246" t="s">
        <v>83</v>
      </c>
      <c r="G81" s="235">
        <v>1</v>
      </c>
      <c r="H81" s="232">
        <f t="shared" si="2"/>
        <v>8</v>
      </c>
      <c r="J81" s="233"/>
    </row>
    <row r="82" spans="1:10">
      <c r="A82" s="230">
        <v>81</v>
      </c>
      <c r="B82" s="251" t="s">
        <v>61</v>
      </c>
      <c r="C82" s="246" t="s">
        <v>42</v>
      </c>
      <c r="D82" s="241">
        <v>10</v>
      </c>
      <c r="E82" s="242" t="s">
        <v>83</v>
      </c>
      <c r="F82" s="246" t="s">
        <v>83</v>
      </c>
      <c r="G82" s="235">
        <v>1</v>
      </c>
      <c r="H82" s="232">
        <f t="shared" si="2"/>
        <v>10</v>
      </c>
      <c r="J82" s="233"/>
    </row>
    <row r="83" spans="1:10">
      <c r="A83" s="230">
        <v>82</v>
      </c>
      <c r="B83" s="240" t="s">
        <v>513</v>
      </c>
      <c r="C83" s="240" t="s">
        <v>445</v>
      </c>
      <c r="D83" s="154">
        <v>9</v>
      </c>
      <c r="E83" s="234" t="s">
        <v>83</v>
      </c>
      <c r="F83" s="234" t="s">
        <v>83</v>
      </c>
      <c r="G83" s="235">
        <v>1</v>
      </c>
      <c r="H83" s="232">
        <f t="shared" si="2"/>
        <v>9</v>
      </c>
      <c r="J83" s="233"/>
    </row>
    <row r="84" spans="1:10">
      <c r="A84" s="230">
        <v>83</v>
      </c>
      <c r="B84" s="247" t="s">
        <v>515</v>
      </c>
      <c r="C84" s="247" t="s">
        <v>445</v>
      </c>
      <c r="D84" s="243">
        <v>6</v>
      </c>
      <c r="E84" s="151" t="s">
        <v>83</v>
      </c>
      <c r="F84" s="151" t="s">
        <v>83</v>
      </c>
      <c r="G84" s="235">
        <v>1</v>
      </c>
      <c r="H84" s="232">
        <f t="shared" si="2"/>
        <v>6</v>
      </c>
      <c r="J84" s="233"/>
    </row>
    <row r="85" spans="1:10">
      <c r="A85" s="230">
        <v>84</v>
      </c>
      <c r="B85" s="151" t="s">
        <v>509</v>
      </c>
      <c r="C85" s="151" t="s">
        <v>445</v>
      </c>
      <c r="D85" s="247">
        <v>9</v>
      </c>
      <c r="E85" s="151" t="s">
        <v>83</v>
      </c>
      <c r="F85" s="151" t="s">
        <v>83</v>
      </c>
      <c r="G85" s="235">
        <v>1</v>
      </c>
      <c r="H85" s="232">
        <f t="shared" si="2"/>
        <v>9</v>
      </c>
      <c r="J85" s="233"/>
    </row>
    <row r="86" spans="1:10" ht="14.25" customHeight="1">
      <c r="A86" s="230">
        <v>85</v>
      </c>
      <c r="B86" s="247" t="s">
        <v>511</v>
      </c>
      <c r="C86" s="247" t="s">
        <v>445</v>
      </c>
      <c r="D86" s="243">
        <v>9</v>
      </c>
      <c r="E86" s="151" t="s">
        <v>83</v>
      </c>
      <c r="F86" s="151" t="s">
        <v>83</v>
      </c>
      <c r="G86" s="235">
        <v>1</v>
      </c>
      <c r="H86" s="232">
        <f t="shared" si="2"/>
        <v>9</v>
      </c>
      <c r="J86" s="233"/>
    </row>
    <row r="87" spans="1:10">
      <c r="A87" s="230">
        <v>86</v>
      </c>
      <c r="B87" s="151" t="s">
        <v>531</v>
      </c>
      <c r="C87" s="151" t="s">
        <v>445</v>
      </c>
      <c r="D87" s="243">
        <v>9</v>
      </c>
      <c r="E87" s="151" t="s">
        <v>83</v>
      </c>
      <c r="F87" s="151" t="s">
        <v>83</v>
      </c>
      <c r="G87" s="235">
        <v>1</v>
      </c>
      <c r="H87" s="232">
        <f t="shared" si="2"/>
        <v>9</v>
      </c>
      <c r="J87" s="233"/>
    </row>
    <row r="88" spans="1:10">
      <c r="A88" s="230">
        <v>87</v>
      </c>
      <c r="B88" s="247" t="s">
        <v>510</v>
      </c>
      <c r="C88" s="247" t="s">
        <v>445</v>
      </c>
      <c r="D88" s="243">
        <v>6</v>
      </c>
      <c r="E88" s="151" t="s">
        <v>83</v>
      </c>
      <c r="F88" s="151" t="s">
        <v>83</v>
      </c>
      <c r="G88" s="235">
        <v>1</v>
      </c>
      <c r="H88" s="232">
        <f t="shared" si="2"/>
        <v>6</v>
      </c>
      <c r="J88" s="233"/>
    </row>
    <row r="89" spans="1:10" ht="15" customHeight="1">
      <c r="A89" s="230">
        <v>88</v>
      </c>
      <c r="B89" s="247" t="s">
        <v>512</v>
      </c>
      <c r="C89" s="247" t="s">
        <v>445</v>
      </c>
      <c r="D89" s="243">
        <v>6</v>
      </c>
      <c r="E89" s="151" t="s">
        <v>83</v>
      </c>
      <c r="F89" s="151" t="s">
        <v>83</v>
      </c>
      <c r="G89" s="235">
        <v>1</v>
      </c>
      <c r="H89" s="232">
        <f t="shared" si="2"/>
        <v>6</v>
      </c>
    </row>
    <row r="90" spans="1:10">
      <c r="A90" s="230">
        <v>89</v>
      </c>
      <c r="B90" s="247" t="s">
        <v>514</v>
      </c>
      <c r="C90" s="247" t="s">
        <v>445</v>
      </c>
      <c r="D90" s="243">
        <v>10</v>
      </c>
      <c r="E90" s="151" t="s">
        <v>83</v>
      </c>
      <c r="F90" s="151" t="s">
        <v>83</v>
      </c>
      <c r="G90" s="235">
        <v>1</v>
      </c>
      <c r="H90" s="232">
        <f t="shared" si="2"/>
        <v>10</v>
      </c>
      <c r="J90" s="233"/>
    </row>
    <row r="91" spans="1:10">
      <c r="A91" s="230">
        <v>90</v>
      </c>
      <c r="B91" s="247" t="s">
        <v>516</v>
      </c>
      <c r="C91" s="247" t="s">
        <v>445</v>
      </c>
      <c r="D91" s="243">
        <v>6</v>
      </c>
      <c r="E91" s="151" t="s">
        <v>83</v>
      </c>
      <c r="F91" s="151" t="s">
        <v>83</v>
      </c>
      <c r="G91" s="235">
        <v>1</v>
      </c>
      <c r="H91" s="232">
        <f t="shared" si="2"/>
        <v>6</v>
      </c>
      <c r="J91" s="233"/>
    </row>
    <row r="92" spans="1:10">
      <c r="A92" s="230">
        <v>91</v>
      </c>
      <c r="B92" s="251" t="s">
        <v>19</v>
      </c>
      <c r="C92" s="246" t="s">
        <v>20</v>
      </c>
      <c r="D92" s="241">
        <v>5</v>
      </c>
      <c r="E92" s="242" t="s">
        <v>491</v>
      </c>
      <c r="F92" s="246" t="s">
        <v>491</v>
      </c>
      <c r="G92" s="235">
        <v>1</v>
      </c>
      <c r="H92" s="232">
        <f t="shared" si="2"/>
        <v>5</v>
      </c>
      <c r="J92" s="233"/>
    </row>
    <row r="93" spans="1:10">
      <c r="A93" s="230">
        <v>92</v>
      </c>
      <c r="B93" s="251" t="s">
        <v>26</v>
      </c>
      <c r="C93" s="246" t="s">
        <v>20</v>
      </c>
      <c r="D93" s="241">
        <v>185</v>
      </c>
      <c r="E93" s="242" t="s">
        <v>88</v>
      </c>
      <c r="F93" s="246" t="s">
        <v>88</v>
      </c>
      <c r="G93" s="235">
        <v>1</v>
      </c>
      <c r="H93" s="232">
        <f t="shared" si="2"/>
        <v>185</v>
      </c>
      <c r="J93" s="233"/>
    </row>
    <row r="94" spans="1:10">
      <c r="A94" s="230">
        <v>93</v>
      </c>
      <c r="B94" s="251" t="s">
        <v>27</v>
      </c>
      <c r="C94" s="246" t="s">
        <v>20</v>
      </c>
      <c r="D94" s="241">
        <v>210</v>
      </c>
      <c r="E94" s="242" t="s">
        <v>88</v>
      </c>
      <c r="F94" s="246" t="s">
        <v>88</v>
      </c>
      <c r="G94" s="235">
        <v>1</v>
      </c>
      <c r="H94" s="232">
        <f t="shared" si="2"/>
        <v>210</v>
      </c>
      <c r="J94" s="233"/>
    </row>
    <row r="95" spans="1:10">
      <c r="A95" s="230">
        <v>94</v>
      </c>
      <c r="B95" s="251" t="s">
        <v>28</v>
      </c>
      <c r="C95" s="246" t="s">
        <v>20</v>
      </c>
      <c r="D95" s="241">
        <v>235</v>
      </c>
      <c r="E95" s="242" t="s">
        <v>88</v>
      </c>
      <c r="F95" s="246" t="s">
        <v>88</v>
      </c>
      <c r="G95" s="235">
        <v>1</v>
      </c>
      <c r="H95" s="232">
        <f t="shared" si="2"/>
        <v>235</v>
      </c>
      <c r="J95" s="233"/>
    </row>
    <row r="96" spans="1:10">
      <c r="A96" s="230">
        <v>95</v>
      </c>
      <c r="B96" s="151" t="s">
        <v>530</v>
      </c>
      <c r="C96" s="151" t="s">
        <v>20</v>
      </c>
      <c r="D96" s="243">
        <v>210</v>
      </c>
      <c r="E96" s="151" t="s">
        <v>83</v>
      </c>
      <c r="F96" s="151" t="s">
        <v>83</v>
      </c>
      <c r="G96" s="235">
        <v>1</v>
      </c>
      <c r="H96" s="232">
        <f t="shared" si="2"/>
        <v>210</v>
      </c>
      <c r="J96" s="233"/>
    </row>
    <row r="97" spans="1:10">
      <c r="A97" s="230">
        <v>96</v>
      </c>
      <c r="B97" s="251" t="s">
        <v>465</v>
      </c>
      <c r="C97" s="246" t="s">
        <v>20</v>
      </c>
      <c r="D97" s="241">
        <v>260</v>
      </c>
      <c r="E97" s="242" t="s">
        <v>88</v>
      </c>
      <c r="F97" s="246" t="s">
        <v>88</v>
      </c>
      <c r="G97" s="235">
        <v>1</v>
      </c>
      <c r="H97" s="232">
        <f t="shared" si="2"/>
        <v>260</v>
      </c>
      <c r="J97" s="233"/>
    </row>
    <row r="98" spans="1:10">
      <c r="A98" s="230">
        <v>97</v>
      </c>
      <c r="B98" s="247" t="s">
        <v>466</v>
      </c>
      <c r="C98" s="247" t="s">
        <v>20</v>
      </c>
      <c r="D98" s="243">
        <v>310</v>
      </c>
      <c r="E98" s="247" t="s">
        <v>88</v>
      </c>
      <c r="F98" s="246" t="s">
        <v>88</v>
      </c>
      <c r="G98" s="235">
        <v>1</v>
      </c>
      <c r="H98" s="232">
        <f t="shared" ref="H98:H112" si="3">IF(G98=0,0,D98/G98)</f>
        <v>310</v>
      </c>
      <c r="J98" s="233"/>
    </row>
    <row r="99" spans="1:10">
      <c r="A99" s="230">
        <v>98</v>
      </c>
      <c r="B99" s="251" t="s">
        <v>33</v>
      </c>
      <c r="C99" s="246" t="s">
        <v>20</v>
      </c>
      <c r="D99" s="241">
        <v>75</v>
      </c>
      <c r="E99" s="242" t="s">
        <v>85</v>
      </c>
      <c r="F99" s="246" t="s">
        <v>83</v>
      </c>
      <c r="G99" s="235">
        <f>1/0.6</f>
        <v>1.6666666666666667</v>
      </c>
      <c r="H99" s="232">
        <f t="shared" si="3"/>
        <v>45</v>
      </c>
      <c r="J99" s="233"/>
    </row>
    <row r="100" spans="1:10">
      <c r="A100" s="230">
        <v>99</v>
      </c>
      <c r="B100" s="251" t="s">
        <v>43</v>
      </c>
      <c r="C100" s="246" t="s">
        <v>20</v>
      </c>
      <c r="D100" s="241">
        <v>37</v>
      </c>
      <c r="E100" s="242" t="s">
        <v>83</v>
      </c>
      <c r="F100" s="246" t="s">
        <v>83</v>
      </c>
      <c r="G100" s="235">
        <v>1</v>
      </c>
      <c r="H100" s="232">
        <f t="shared" si="3"/>
        <v>37</v>
      </c>
      <c r="J100" s="233"/>
    </row>
    <row r="101" spans="1:10">
      <c r="A101" s="230">
        <v>100</v>
      </c>
      <c r="B101" s="251" t="s">
        <v>52</v>
      </c>
      <c r="C101" s="246" t="s">
        <v>20</v>
      </c>
      <c r="D101" s="241">
        <v>0.4</v>
      </c>
      <c r="E101" s="242" t="s">
        <v>491</v>
      </c>
      <c r="F101" s="246" t="s">
        <v>491</v>
      </c>
      <c r="G101" s="235">
        <v>1</v>
      </c>
      <c r="H101" s="232">
        <f t="shared" si="3"/>
        <v>0.4</v>
      </c>
      <c r="J101" s="233"/>
    </row>
    <row r="102" spans="1:10">
      <c r="A102" s="230">
        <v>101</v>
      </c>
      <c r="B102" s="251" t="s">
        <v>55</v>
      </c>
      <c r="C102" s="246" t="s">
        <v>20</v>
      </c>
      <c r="D102" s="241">
        <v>8</v>
      </c>
      <c r="E102" s="242" t="s">
        <v>489</v>
      </c>
      <c r="F102" s="246" t="s">
        <v>489</v>
      </c>
      <c r="G102" s="235">
        <v>1</v>
      </c>
      <c r="H102" s="232">
        <f t="shared" si="3"/>
        <v>8</v>
      </c>
      <c r="J102" s="233"/>
    </row>
    <row r="103" spans="1:10">
      <c r="A103" s="230">
        <v>102</v>
      </c>
      <c r="B103" s="247" t="s">
        <v>467</v>
      </c>
      <c r="C103" s="247" t="s">
        <v>20</v>
      </c>
      <c r="D103" s="243">
        <v>8</v>
      </c>
      <c r="E103" s="247" t="s">
        <v>489</v>
      </c>
      <c r="F103" s="247" t="s">
        <v>489</v>
      </c>
      <c r="G103" s="235">
        <v>1</v>
      </c>
      <c r="H103" s="232">
        <f t="shared" si="3"/>
        <v>8</v>
      </c>
      <c r="J103" s="233"/>
    </row>
    <row r="104" spans="1:10">
      <c r="A104" s="230">
        <v>103</v>
      </c>
      <c r="B104" s="251" t="s">
        <v>60</v>
      </c>
      <c r="C104" s="246" t="s">
        <v>20</v>
      </c>
      <c r="D104" s="241">
        <v>44</v>
      </c>
      <c r="E104" s="242" t="s">
        <v>88</v>
      </c>
      <c r="F104" s="246" t="s">
        <v>88</v>
      </c>
      <c r="G104" s="235">
        <v>1</v>
      </c>
      <c r="H104" s="232">
        <f t="shared" si="3"/>
        <v>44</v>
      </c>
      <c r="J104" s="233"/>
    </row>
    <row r="105" spans="1:10">
      <c r="A105" s="230">
        <v>104</v>
      </c>
      <c r="B105" s="251" t="s">
        <v>63</v>
      </c>
      <c r="C105" s="246" t="s">
        <v>20</v>
      </c>
      <c r="D105" s="241">
        <v>2.1</v>
      </c>
      <c r="E105" s="242" t="s">
        <v>491</v>
      </c>
      <c r="F105" s="246" t="s">
        <v>491</v>
      </c>
      <c r="G105" s="235">
        <v>1</v>
      </c>
      <c r="H105" s="232">
        <f t="shared" si="3"/>
        <v>2.1</v>
      </c>
      <c r="J105" s="233"/>
    </row>
    <row r="106" spans="1:10">
      <c r="A106" s="230">
        <v>105</v>
      </c>
      <c r="B106" s="251" t="s">
        <v>64</v>
      </c>
      <c r="C106" s="246" t="s">
        <v>20</v>
      </c>
      <c r="D106" s="241">
        <v>0.65</v>
      </c>
      <c r="E106" s="242" t="s">
        <v>491</v>
      </c>
      <c r="F106" s="246" t="s">
        <v>491</v>
      </c>
      <c r="G106" s="235">
        <v>1</v>
      </c>
      <c r="H106" s="232">
        <f t="shared" si="3"/>
        <v>0.65</v>
      </c>
      <c r="J106" s="233"/>
    </row>
    <row r="107" spans="1:10">
      <c r="A107" s="230">
        <v>106</v>
      </c>
      <c r="B107" s="247" t="s">
        <v>470</v>
      </c>
      <c r="C107" s="247" t="s">
        <v>20</v>
      </c>
      <c r="D107" s="243">
        <v>59</v>
      </c>
      <c r="E107" s="247" t="s">
        <v>88</v>
      </c>
      <c r="F107" s="246" t="s">
        <v>88</v>
      </c>
      <c r="G107" s="235">
        <v>1</v>
      </c>
      <c r="H107" s="232">
        <f t="shared" si="3"/>
        <v>59</v>
      </c>
      <c r="J107" s="233"/>
    </row>
    <row r="108" spans="1:10">
      <c r="A108" s="230">
        <v>107</v>
      </c>
      <c r="B108" s="251" t="s">
        <v>67</v>
      </c>
      <c r="C108" s="246" t="s">
        <v>20</v>
      </c>
      <c r="D108" s="241">
        <v>165</v>
      </c>
      <c r="E108" s="242" t="s">
        <v>83</v>
      </c>
      <c r="F108" s="246" t="s">
        <v>83</v>
      </c>
      <c r="G108" s="235">
        <v>1</v>
      </c>
      <c r="H108" s="232">
        <f t="shared" si="3"/>
        <v>165</v>
      </c>
      <c r="J108" s="233"/>
    </row>
    <row r="109" spans="1:10">
      <c r="A109" s="230">
        <v>108</v>
      </c>
      <c r="B109" s="251" t="s">
        <v>68</v>
      </c>
      <c r="C109" s="246" t="s">
        <v>20</v>
      </c>
      <c r="D109" s="241">
        <v>4</v>
      </c>
      <c r="E109" s="242" t="s">
        <v>491</v>
      </c>
      <c r="F109" s="246" t="s">
        <v>491</v>
      </c>
      <c r="G109" s="235">
        <v>1</v>
      </c>
      <c r="H109" s="232">
        <f t="shared" si="3"/>
        <v>4</v>
      </c>
      <c r="J109" s="233"/>
    </row>
    <row r="110" spans="1:10">
      <c r="A110" s="230">
        <v>109</v>
      </c>
      <c r="B110" s="251" t="s">
        <v>75</v>
      </c>
      <c r="C110" s="246" t="s">
        <v>20</v>
      </c>
      <c r="D110" s="241">
        <v>0.13</v>
      </c>
      <c r="E110" s="242" t="s">
        <v>491</v>
      </c>
      <c r="F110" s="246" t="s">
        <v>491</v>
      </c>
      <c r="G110" s="235">
        <v>1</v>
      </c>
      <c r="H110" s="232">
        <f t="shared" si="3"/>
        <v>0.13</v>
      </c>
      <c r="J110" s="233"/>
    </row>
    <row r="111" spans="1:10">
      <c r="A111" s="230">
        <v>110</v>
      </c>
      <c r="B111" s="247" t="s">
        <v>471</v>
      </c>
      <c r="C111" s="247" t="s">
        <v>20</v>
      </c>
      <c r="D111" s="243">
        <v>0.25</v>
      </c>
      <c r="E111" s="247" t="s">
        <v>491</v>
      </c>
      <c r="F111" s="247" t="s">
        <v>491</v>
      </c>
      <c r="G111" s="235">
        <v>1</v>
      </c>
      <c r="H111" s="232">
        <f t="shared" si="3"/>
        <v>0.25</v>
      </c>
    </row>
    <row r="112" spans="1:10">
      <c r="A112" s="230">
        <v>111</v>
      </c>
      <c r="B112" s="247" t="s">
        <v>468</v>
      </c>
      <c r="C112" s="247" t="s">
        <v>20</v>
      </c>
      <c r="D112" s="243">
        <v>0.2</v>
      </c>
      <c r="E112" s="247" t="s">
        <v>491</v>
      </c>
      <c r="F112" s="247" t="s">
        <v>491</v>
      </c>
      <c r="G112" s="235">
        <v>1</v>
      </c>
      <c r="H112" s="232">
        <f t="shared" si="3"/>
        <v>0.2</v>
      </c>
    </row>
    <row r="113" spans="1:8">
      <c r="A113" s="230">
        <v>112</v>
      </c>
      <c r="B113" s="251"/>
      <c r="C113" s="246"/>
      <c r="D113" s="241"/>
      <c r="E113" s="242"/>
      <c r="F113" s="246"/>
      <c r="G113" s="235"/>
      <c r="H113" s="232"/>
    </row>
    <row r="114" spans="1:8">
      <c r="A114" s="230">
        <v>113</v>
      </c>
      <c r="B114" s="247"/>
      <c r="C114" s="247"/>
      <c r="D114" s="243"/>
      <c r="E114" s="247"/>
      <c r="F114" s="247"/>
      <c r="G114" s="235"/>
      <c r="H114" s="232">
        <f t="shared" ref="H114:H121" si="4">IF(G114=0,0,D114/G114)</f>
        <v>0</v>
      </c>
    </row>
    <row r="115" spans="1:8">
      <c r="A115" s="230">
        <v>114</v>
      </c>
      <c r="B115" s="247"/>
      <c r="C115" s="247"/>
      <c r="D115" s="243"/>
      <c r="E115" s="247"/>
      <c r="F115" s="247"/>
      <c r="G115" s="235"/>
      <c r="H115" s="232">
        <f t="shared" si="4"/>
        <v>0</v>
      </c>
    </row>
    <row r="116" spans="1:8">
      <c r="A116" s="230">
        <v>115</v>
      </c>
      <c r="B116" s="247"/>
      <c r="C116" s="247"/>
      <c r="D116" s="243"/>
      <c r="E116" s="247"/>
      <c r="F116" s="247"/>
      <c r="G116" s="235"/>
      <c r="H116" s="232">
        <f t="shared" si="4"/>
        <v>0</v>
      </c>
    </row>
    <row r="117" spans="1:8">
      <c r="A117" s="230">
        <v>116</v>
      </c>
      <c r="B117" s="247"/>
      <c r="C117" s="247"/>
      <c r="D117" s="243"/>
      <c r="E117" s="247"/>
      <c r="F117" s="247"/>
      <c r="G117" s="235"/>
      <c r="H117" s="232">
        <f t="shared" si="4"/>
        <v>0</v>
      </c>
    </row>
    <row r="118" spans="1:8">
      <c r="A118" s="230">
        <v>117</v>
      </c>
      <c r="B118" s="247"/>
      <c r="C118" s="247"/>
      <c r="D118" s="243"/>
      <c r="E118" s="247"/>
      <c r="F118" s="247"/>
      <c r="G118" s="235"/>
      <c r="H118" s="232">
        <f>IF(G118=0,0,D118/G118)</f>
        <v>0</v>
      </c>
    </row>
    <row r="119" spans="1:8">
      <c r="A119" s="230">
        <v>118</v>
      </c>
      <c r="B119" s="247"/>
      <c r="C119" s="247"/>
      <c r="D119" s="243"/>
      <c r="E119" s="247"/>
      <c r="F119" s="247"/>
      <c r="G119" s="235"/>
      <c r="H119" s="232">
        <f t="shared" si="4"/>
        <v>0</v>
      </c>
    </row>
    <row r="120" spans="1:8">
      <c r="A120" s="230">
        <v>119</v>
      </c>
      <c r="B120" s="247"/>
      <c r="C120" s="247"/>
      <c r="D120" s="243"/>
      <c r="E120" s="247"/>
      <c r="F120" s="247"/>
      <c r="G120" s="235"/>
      <c r="H120" s="232">
        <f t="shared" si="4"/>
        <v>0</v>
      </c>
    </row>
    <row r="121" spans="1:8">
      <c r="A121" s="230">
        <v>120</v>
      </c>
      <c r="B121" s="247"/>
      <c r="C121" s="247"/>
      <c r="D121" s="243"/>
      <c r="E121" s="247"/>
      <c r="F121" s="247"/>
      <c r="G121" s="235"/>
      <c r="H121" s="232">
        <f t="shared" si="4"/>
        <v>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sheetPr codeName="Sheet31">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8" t="s">
        <v>539</v>
      </c>
      <c r="B1" s="81"/>
      <c r="C1" s="82"/>
      <c r="D1" s="82"/>
      <c r="E1" s="81"/>
      <c r="F1" s="82"/>
      <c r="G1" s="87"/>
      <c r="H1" s="131" t="s">
        <v>118</v>
      </c>
      <c r="I1" s="81"/>
      <c r="J1" s="55"/>
      <c r="K1" s="56" t="str">
        <f>'General Variables'!A1&amp;" "&amp;'General Variables'!B1</f>
        <v>Year 2011</v>
      </c>
      <c r="O1" s="88" t="s">
        <v>528</v>
      </c>
    </row>
    <row r="2" spans="1:15">
      <c r="A2" s="128" t="s">
        <v>113</v>
      </c>
      <c r="B2" s="81"/>
      <c r="C2" s="82"/>
      <c r="D2" s="82"/>
      <c r="E2" s="81"/>
      <c r="F2" s="82"/>
      <c r="G2" s="87"/>
      <c r="H2" s="132">
        <v>2</v>
      </c>
      <c r="I2" s="253" t="str">
        <f>IF(H2="","","acre-inches")</f>
        <v>acre-inches</v>
      </c>
      <c r="J2" s="55"/>
      <c r="K2" s="55"/>
      <c r="O2" s="88" t="s">
        <v>527</v>
      </c>
    </row>
    <row r="3" spans="1:15">
      <c r="A3" s="128"/>
      <c r="B3" s="128" t="s">
        <v>83</v>
      </c>
      <c r="C3" s="82"/>
      <c r="D3" s="82"/>
      <c r="E3" s="81"/>
      <c r="F3" s="81"/>
      <c r="G3" s="81"/>
      <c r="H3" s="81"/>
      <c r="I3" s="81"/>
      <c r="J3" s="55"/>
      <c r="K3" s="55"/>
      <c r="O3" s="88" t="str">
        <f>B3</f>
        <v>acre</v>
      </c>
    </row>
    <row r="5" spans="1:15" s="90" customFormat="1" ht="22.5" customHeight="1">
      <c r="B5" s="260" t="s">
        <v>92</v>
      </c>
      <c r="C5" s="262" t="s">
        <v>1</v>
      </c>
      <c r="D5" s="91"/>
      <c r="E5" s="262" t="str">
        <f>"Labor @ $" &amp;TEXT('General Variables'!B2,"#.00")&amp; " /Hr"</f>
        <v>Labor @ $12.00 /Hr</v>
      </c>
      <c r="F5" s="262" t="str">
        <f>"Fuel @ $" &amp; TEXT('General Variables'!B3,"#.00") &amp; " and Lube"</f>
        <v>Fuel @ $3.00 and Lube</v>
      </c>
      <c r="G5" s="264" t="s">
        <v>93</v>
      </c>
      <c r="H5" s="264"/>
      <c r="I5" s="264" t="s">
        <v>416</v>
      </c>
      <c r="J5" s="264"/>
      <c r="K5" s="264" t="s">
        <v>2</v>
      </c>
      <c r="L5" s="262" t="s">
        <v>438</v>
      </c>
    </row>
    <row r="6" spans="1:15" s="90" customFormat="1" ht="17.25" customHeight="1" thickBot="1">
      <c r="B6" s="261"/>
      <c r="C6" s="263"/>
      <c r="D6" s="92" t="s">
        <v>89</v>
      </c>
      <c r="E6" s="263"/>
      <c r="F6" s="263"/>
      <c r="G6" s="93" t="s">
        <v>94</v>
      </c>
      <c r="H6" s="93" t="s">
        <v>96</v>
      </c>
      <c r="I6" s="93" t="s">
        <v>94</v>
      </c>
      <c r="J6" s="93" t="s">
        <v>96</v>
      </c>
      <c r="K6" s="265"/>
      <c r="L6" s="263"/>
    </row>
    <row r="7" spans="1:15" ht="13.5" thickTop="1">
      <c r="A7" s="94">
        <v>1</v>
      </c>
      <c r="B7" s="254" t="s">
        <v>317</v>
      </c>
      <c r="C7" s="133">
        <v>1</v>
      </c>
      <c r="D7" s="256"/>
      <c r="E7" s="84">
        <f>IF(B7=0,"",IF(C7&gt;9999,"",ROUND('General Variables'!$B$2*VLOOKUP(B7,Operations[],10,FALSE)/VLOOKUP(B7,Operations[],9,FALSE)*C7,2)))</f>
        <v>1.21</v>
      </c>
      <c r="F7" s="84">
        <f>IF(B7=0,0,IF(C7&gt;9999,"",ROUND(IF(VLOOKUP(B7,Operations[],12,FALSE)=0,VLOOKUP(B7,Operations[],13,FALSE)*'General Variables'!$B$6,VLOOKUP(B7,Operations[],12,FALSE)*'General Variables'!$B$5)/VLOOKUP(B7,Operations[],9,FALSE)*C7,2)))</f>
        <v>2.62</v>
      </c>
      <c r="G7" s="84">
        <f>IF(B7=0,0,IF(C7&gt;9999,"",ROUND(VLOOKUP(VLOOKUP(B7,Operations[],11,FALSE),PowerUnits[],10,FALSE)/VLOOKUP(B7,Operations[],9,FALSE)*C7,2)))</f>
        <v>0.13</v>
      </c>
      <c r="H7" s="84">
        <f>IF(B7=0,"",IF(C7&gt;9999,"",ROUND(VLOOKUP($B7,Operations[],15,FALSE)*C7,2)))</f>
        <v>1.29</v>
      </c>
      <c r="I7" s="84">
        <f>IF(B7=0,0,IF(C7&gt;9999,"",ROUND(VLOOKUP(VLOOKUP(B7,Operations[],11,FALSE),PowerUnits[],16,FALSE)/VLOOKUP(B7,Operations[],9,FALSE)*C7,2)))</f>
        <v>2.78</v>
      </c>
      <c r="J7" s="84">
        <f>IF(B7=0,"",IF(C7&gt;9999,"",ROUND(VLOOKUP($B7,Operations[],21,FALSE)*$C7,2)))</f>
        <v>1.26</v>
      </c>
      <c r="K7" s="84">
        <f>IF(C7&gt;9999,"",ROUND(SUM(E7:J7),2))</f>
        <v>9.2899999999999991</v>
      </c>
      <c r="L7" s="95"/>
    </row>
    <row r="8" spans="1:15">
      <c r="A8" s="94">
        <v>2</v>
      </c>
      <c r="B8" s="254" t="s">
        <v>323</v>
      </c>
      <c r="C8" s="133">
        <v>1</v>
      </c>
      <c r="D8" s="256"/>
      <c r="E8" s="84">
        <f>IF(B8=0,"",IF(C8&gt;9999,"",ROUND('General Variables'!$B$2*VLOOKUP(B8,Operations[],10,FALSE)/VLOOKUP(B8,Operations[],9,FALSE)*C8,2)))</f>
        <v>0.62</v>
      </c>
      <c r="F8" s="84">
        <f>IF(B8=0,0,IF(C8&gt;9999,"",ROUND(IF(VLOOKUP(B8,Operations[],12,FALSE)=0,VLOOKUP(B8,Operations[],13,FALSE)*'General Variables'!$B$6,VLOOKUP(B8,Operations[],12,FALSE)*'General Variables'!$B$5)/VLOOKUP(B8,Operations[],9,FALSE)*C8,2)))</f>
        <v>1.33</v>
      </c>
      <c r="G8" s="84">
        <f>IF(B8=0,0,IF(C8&gt;9999,"",ROUND(VLOOKUP(VLOOKUP(B8,Operations[],11,FALSE),PowerUnits[],10,FALSE)/VLOOKUP(B8,Operations[],9,FALSE)*C8,2)))</f>
        <v>7.0000000000000007E-2</v>
      </c>
      <c r="H8" s="84">
        <f>IF(B8=0,"",IF(C8&gt;9999,"",ROUND(VLOOKUP($B8,Operations[],15,FALSE)*C8,2)))</f>
        <v>0.41</v>
      </c>
      <c r="I8" s="84">
        <f>IF(B8=0,0,IF(C8&gt;9999,"",ROUND(VLOOKUP(VLOOKUP(B8,Operations[],11,FALSE),PowerUnits[],16,FALSE)/VLOOKUP(B8,Operations[],9,FALSE)*C8,2)))</f>
        <v>1.43</v>
      </c>
      <c r="J8" s="84">
        <f>IF(B8=0,"",IF(C8&gt;9999,"",ROUND(VLOOKUP($B8,Operations[],21,FALSE)*$C8,2)))</f>
        <v>0.83</v>
      </c>
      <c r="K8" s="84">
        <f t="shared" ref="K8:K26" si="0">IF(C8&gt;9999,"",ROUND(SUM(E8:J8),2))</f>
        <v>4.6900000000000004</v>
      </c>
      <c r="L8" s="95"/>
    </row>
    <row r="9" spans="1:15">
      <c r="A9" s="94">
        <v>3</v>
      </c>
      <c r="B9" s="254" t="s">
        <v>344</v>
      </c>
      <c r="C9" s="133">
        <v>1</v>
      </c>
      <c r="D9" s="256"/>
      <c r="E9" s="84">
        <f>IF(B9=0,"",IF(C9&gt;9999,"",ROUND('General Variables'!$B$2*VLOOKUP(B9,Operations[],10,FALSE)/VLOOKUP(B9,Operations[],9,FALSE)*C9,2)))</f>
        <v>1.33</v>
      </c>
      <c r="F9" s="84">
        <f>IF(B9=0,0,IF(C9&gt;9999,"",ROUND(IF(VLOOKUP(B9,Operations[],12,FALSE)=0,VLOOKUP(B9,Operations[],13,FALSE)*'General Variables'!$B$6,VLOOKUP(B9,Operations[],12,FALSE)*'General Variables'!$B$5)/VLOOKUP(B9,Operations[],9,FALSE)*C9,2)))</f>
        <v>2.09</v>
      </c>
      <c r="G9" s="84">
        <f>IF(B9=0,0,IF(C9&gt;9999,"",ROUND(VLOOKUP(VLOOKUP(B9,Operations[],11,FALSE),PowerUnits[],10,FALSE)/VLOOKUP(B9,Operations[],9,FALSE)*C9,2)))</f>
        <v>0.28000000000000003</v>
      </c>
      <c r="H9" s="84">
        <f>IF(B9=0,"",IF(C9&gt;9999,"",ROUND(VLOOKUP($B9,Operations[],15,FALSE)*C9,2)))</f>
        <v>0</v>
      </c>
      <c r="I9" s="84">
        <f>IF(B9=0,0,IF(C9&gt;9999,"",ROUND(VLOOKUP(VLOOKUP(B9,Operations[],11,FALSE),PowerUnits[],16,FALSE)/VLOOKUP(B9,Operations[],9,FALSE)*C9,2)))</f>
        <v>1.52</v>
      </c>
      <c r="J9" s="84">
        <f>IF(B9=0,"",IF(C9&gt;9999,"",ROUND(VLOOKUP($B9,Operations[],21,FALSE)*$C9,2)))</f>
        <v>0</v>
      </c>
      <c r="K9" s="84">
        <f t="shared" si="0"/>
        <v>5.22</v>
      </c>
      <c r="L9" s="95"/>
    </row>
    <row r="10" spans="1:15">
      <c r="A10" s="94">
        <v>4</v>
      </c>
      <c r="B10" s="254" t="s">
        <v>41</v>
      </c>
      <c r="C10" s="133">
        <v>1</v>
      </c>
      <c r="D10" s="256"/>
      <c r="E10" s="84">
        <f>IF(B10=0,"",IF(C10&gt;9999,"",ROUND('General Variables'!$B$2*VLOOKUP(B10,Operations[],10,FALSE)/VLOOKUP(B10,Operations[],9,FALSE)*C10,2)))</f>
        <v>2.69</v>
      </c>
      <c r="F10" s="84">
        <f>IF(B10=0,0,IF(C10&gt;9999,"",ROUND(IF(VLOOKUP(B10,Operations[],12,FALSE)=0,VLOOKUP(B10,Operations[],13,FALSE)*'General Variables'!$B$6,VLOOKUP(B10,Operations[],12,FALSE)*'General Variables'!$B$5)/VLOOKUP(B10,Operations[],9,FALSE)*C10,2)))</f>
        <v>3.02</v>
      </c>
      <c r="G10" s="84">
        <f>IF(B10=0,0,IF(C10&gt;9999,"",ROUND(VLOOKUP(VLOOKUP(B10,Operations[],11,FALSE),PowerUnits[],10,FALSE)/VLOOKUP(B10,Operations[],9,FALSE)*C10,2)))</f>
        <v>0.5</v>
      </c>
      <c r="H10" s="84">
        <f>IF(B10=0,"",IF(C10&gt;9999,"",ROUND(VLOOKUP($B10,Operations[],15,FALSE)*C10,2)))</f>
        <v>0.16</v>
      </c>
      <c r="I10" s="84">
        <f>IF(B10=0,0,IF(C10&gt;9999,"",ROUND(VLOOKUP(VLOOKUP(B10,Operations[],11,FALSE),PowerUnits[],16,FALSE)/VLOOKUP(B10,Operations[],9,FALSE)*C10,2)))</f>
        <v>2.79</v>
      </c>
      <c r="J10" s="84">
        <f>IF(B10=0,"",IF(C10&gt;9999,"",ROUND(VLOOKUP($B10,Operations[],21,FALSE)*$C10,2)))</f>
        <v>2.56</v>
      </c>
      <c r="K10" s="84">
        <f t="shared" si="0"/>
        <v>11.72</v>
      </c>
      <c r="L10" s="95"/>
    </row>
    <row r="11" spans="1:15">
      <c r="A11" s="94">
        <v>5</v>
      </c>
      <c r="B11" s="254" t="s">
        <v>336</v>
      </c>
      <c r="C11" s="133">
        <f>H2</f>
        <v>2</v>
      </c>
      <c r="D11" s="256" t="s">
        <v>527</v>
      </c>
      <c r="E11" s="84">
        <f>IF(B11=0,"",IF(C11&gt;9999,"",ROUND('General Variables'!$B$2*VLOOKUP(B11,Operations[],10,FALSE)/VLOOKUP(B11,Operations[],9,FALSE)*C11,2)))</f>
        <v>0.83</v>
      </c>
      <c r="F11" s="84">
        <f>IF(B11=0,0,IF(C11&gt;9999,"",ROUND(IF(VLOOKUP(B11,Operations[],12,FALSE)=0,VLOOKUP(B11,Operations[],13,FALSE)*'General Variables'!$B$6,VLOOKUP(B11,Operations[],12,FALSE)*'General Variables'!$B$5)/VLOOKUP(B11,Operations[],9,FALSE)*C11,2)))</f>
        <v>12.8</v>
      </c>
      <c r="G11" s="84">
        <f>IF(B11=0,0,IF(C11&gt;9999,"",ROUND(VLOOKUP(VLOOKUP(B11,Operations[],11,FALSE),PowerUnits[],10,FALSE)/VLOOKUP(B11,Operations[],9,FALSE)*C11,2)))</f>
        <v>0.65</v>
      </c>
      <c r="H11" s="84">
        <f>IF(B11=0,"",IF(C11&gt;9999,"",ROUND(VLOOKUP($B11,Operations[],15,FALSE)*C11,2)))</f>
        <v>2.31</v>
      </c>
      <c r="I11" s="84">
        <f>IF(B11=0,0,IF(C11&gt;9999,"",ROUND(VLOOKUP(VLOOKUP(B11,Operations[],11,FALSE),PowerUnits[],16,FALSE)/VLOOKUP(B11,Operations[],9,FALSE)*C11,2)))</f>
        <v>1.8</v>
      </c>
      <c r="J11" s="84">
        <f>IF(B11=0,"",IF(C11&gt;9999,"",ROUND(VLOOKUP($B11,Operations[],21,FALSE)*$C11,2)))</f>
        <v>1.38</v>
      </c>
      <c r="K11" s="84">
        <f t="shared" ref="K11:K12" si="1">IF(C11&gt;9999,"",ROUND(SUM(E11:J11),2))</f>
        <v>19.77</v>
      </c>
      <c r="L11" s="95"/>
    </row>
    <row r="12" spans="1:15">
      <c r="A12" s="94">
        <v>6</v>
      </c>
      <c r="B12" s="254" t="s">
        <v>350</v>
      </c>
      <c r="C12" s="133">
        <v>1</v>
      </c>
      <c r="D12" s="256"/>
      <c r="E12" s="84">
        <f>IF(B12=0,"",IF(C12&gt;9999,"",ROUND('General Variables'!$B$2*VLOOKUP(B12,Operations[],10,FALSE)/VLOOKUP(B12,Operations[],9,FALSE)*C12,2)))</f>
        <v>0.94</v>
      </c>
      <c r="F12" s="84">
        <f>IF(B12=0,0,IF(C12&gt;9999,"",ROUND(IF(VLOOKUP(B12,Operations[],12,FALSE)=0,VLOOKUP(B12,Operations[],13,FALSE)*'General Variables'!$B$6,VLOOKUP(B12,Operations[],12,FALSE)*'General Variables'!$B$5)/VLOOKUP(B12,Operations[],9,FALSE)*C12,2)))</f>
        <v>1.05</v>
      </c>
      <c r="G12" s="84">
        <f>IF(B12=0,0,IF(C12&gt;9999,"",ROUND(VLOOKUP(VLOOKUP(B12,Operations[],11,FALSE),PowerUnits[],10,FALSE)/VLOOKUP(B12,Operations[],9,FALSE)*C12,2)))</f>
        <v>0.19</v>
      </c>
      <c r="H12" s="84">
        <f>IF(B12=0,"",IF(C12&gt;9999,"",ROUND(VLOOKUP($B12,Operations[],15,FALSE)*C12,2)))</f>
        <v>0</v>
      </c>
      <c r="I12" s="84">
        <f>IF(B12=0,0,IF(C12&gt;9999,"",ROUND(VLOOKUP(VLOOKUP(B12,Operations[],11,FALSE),PowerUnits[],16,FALSE)/VLOOKUP(B12,Operations[],9,FALSE)*C12,2)))</f>
        <v>1.08</v>
      </c>
      <c r="J12" s="84">
        <f>IF(B12=0,"",IF(C12&gt;9999,"",ROUND(VLOOKUP($B12,Operations[],21,FALSE)*$C12,2)))</f>
        <v>0</v>
      </c>
      <c r="K12" s="84">
        <f t="shared" si="1"/>
        <v>3.26</v>
      </c>
      <c r="L12" s="95"/>
    </row>
    <row r="13" spans="1:15" hidden="1">
      <c r="A13" s="94">
        <v>7</v>
      </c>
      <c r="B13" s="254"/>
      <c r="C13" s="133"/>
      <c r="D13" s="256"/>
      <c r="E13" s="84" t="str">
        <f>IF(B13=0,"",IF(C13&gt;9999,"",ROUND('General Variables'!$B$2*VLOOKUP(B13,Operations[],10,FALSE)/VLOOKUP(B13,Operations[],9,FALSE)*C13,2)))</f>
        <v/>
      </c>
      <c r="F13" s="84">
        <f>IF(B13=0,0,IF(C13&gt;9999,"",ROUND(IF(VLOOKUP(B13,Operations[],12,FALSE)=0,VLOOKUP(B13,Operations[],13,FALSE)*'General Variables'!$B$6,VLOOKUP(B13,Operations[],12,FALSE)*'General Variables'!$B$5)/VLOOKUP(B13,Operations[],9,FALSE)*C13,2)))</f>
        <v>0</v>
      </c>
      <c r="G13" s="84">
        <f>IF(B13=0,0,IF(C13&gt;9999,"",ROUND(VLOOKUP(VLOOKUP(B13,Operations[],11,FALSE),PowerUnits[],10,FALSE)/VLOOKUP(B13,Operations[],9,FALSE)*C13,2)))</f>
        <v>0</v>
      </c>
      <c r="H13" s="84" t="str">
        <f>IF(B13=0,"",IF(C13&gt;9999,"",ROUND(VLOOKUP($B13,Operations[],15,FALSE)*C13,2)))</f>
        <v/>
      </c>
      <c r="I13" s="84">
        <f>IF(B13=0,0,IF(C13&gt;9999,"",ROUND(VLOOKUP(VLOOKUP(B13,Operations[],11,FALSE),PowerUnits[],16,FALSE)/VLOOKUP(B13,Operations[],9,FALSE)*C13,2)))</f>
        <v>0</v>
      </c>
      <c r="J13" s="84" t="str">
        <f>IF(B13=0,"",IF(C13&gt;9999,"",ROUND(VLOOKUP($B13,Operations[],21,FALSE)*$C13,2)))</f>
        <v/>
      </c>
      <c r="K13" s="84">
        <f t="shared" si="0"/>
        <v>0</v>
      </c>
      <c r="L13" s="95"/>
    </row>
    <row r="14" spans="1:15" hidden="1">
      <c r="A14" s="94">
        <v>8</v>
      </c>
      <c r="B14" s="254"/>
      <c r="C14" s="133"/>
      <c r="D14" s="256"/>
      <c r="E14" s="84" t="str">
        <f>IF(B14=0,"",IF(C14&gt;9999,"",ROUND('General Variables'!$B$2*VLOOKUP(B14,Operations[],10,FALSE)/VLOOKUP(B14,Operations[],9,FALSE)*C14,2)))</f>
        <v/>
      </c>
      <c r="F14" s="84">
        <f>IF(B14=0,0,IF(C14&gt;9999,"",ROUND(IF(VLOOKUP(B14,Operations[],12,FALSE)=0,VLOOKUP(B14,Operations[],13,FALSE)*'General Variables'!$B$6,VLOOKUP(B14,Operations[],12,FALSE)*'General Variables'!$B$5)/VLOOKUP(B14,Operations[],9,FALSE)*C14,2)))</f>
        <v>0</v>
      </c>
      <c r="G14" s="84">
        <f>IF(B14=0,0,IF(C14&gt;9999,"",ROUND(VLOOKUP(VLOOKUP(B14,Operations[],11,FALSE),PowerUnits[],10,FALSE)/VLOOKUP(B14,Operations[],9,FALSE)*C14,2)))</f>
        <v>0</v>
      </c>
      <c r="H14" s="84" t="str">
        <f>IF(B14=0,"",IF(C14&gt;9999,"",ROUND(VLOOKUP($B14,Operations[],15,FALSE)*C14,2)))</f>
        <v/>
      </c>
      <c r="I14" s="84">
        <f>IF(B14=0,0,IF(C14&gt;9999,"",ROUND(VLOOKUP(VLOOKUP(B14,Operations[],11,FALSE),PowerUnits[],16,FALSE)/VLOOKUP(B14,Operations[],9,FALSE)*C14,2)))</f>
        <v>0</v>
      </c>
      <c r="J14" s="84" t="str">
        <f>IF(B14=0,"",IF(C14&gt;9999,"",ROUND(VLOOKUP($B14,Operations[],21,FALSE)*$C14,2)))</f>
        <v/>
      </c>
      <c r="K14" s="84">
        <f t="shared" si="0"/>
        <v>0</v>
      </c>
      <c r="L14" s="95"/>
    </row>
    <row r="15" spans="1:15" hidden="1">
      <c r="A15" s="94">
        <v>9</v>
      </c>
      <c r="B15" s="254"/>
      <c r="C15" s="133"/>
      <c r="D15" s="257"/>
      <c r="E15" s="84" t="str">
        <f>IF(B15=0,"",IF(C15&gt;9999,"",ROUND('General Variables'!$B$2*VLOOKUP(B15,Operations[],10,FALSE)/VLOOKUP(B15,Operations[],9,FALSE)*C15,2)))</f>
        <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t="str">
        <f>IF(B15=0,"",IF(C15&gt;9999,"",ROUND(VLOOKUP($B15,Operations[],15,FALSE)*C15,2)))</f>
        <v/>
      </c>
      <c r="I15" s="84">
        <f>IF(B15=0,0,IF(C15&gt;9999,"",ROUND(VLOOKUP(VLOOKUP(B15,Operations[],11,FALSE),PowerUnits[],16,FALSE)/VLOOKUP(B15,Operations[],9,FALSE)*C15,2)))</f>
        <v>0</v>
      </c>
      <c r="J15" s="84" t="str">
        <f>IF(B15=0,"",IF(C15&gt;9999,"",ROUND(VLOOKUP($B15,Operations[],21,FALSE)*$C15,2)))</f>
        <v/>
      </c>
      <c r="K15" s="84">
        <f t="shared" si="0"/>
        <v>0</v>
      </c>
      <c r="L15" s="95"/>
    </row>
    <row r="16" spans="1:15" hidden="1">
      <c r="A16" s="94">
        <v>10</v>
      </c>
      <c r="B16" s="254"/>
      <c r="C16" s="133"/>
      <c r="D16" s="257"/>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5"/>
    </row>
    <row r="17" spans="1:12" hidden="1">
      <c r="A17" s="94">
        <v>11</v>
      </c>
      <c r="B17" s="254"/>
      <c r="C17" s="133"/>
      <c r="D17" s="257"/>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5"/>
    </row>
    <row r="18" spans="1:12" hidden="1">
      <c r="A18" s="94">
        <v>12</v>
      </c>
      <c r="B18" s="254"/>
      <c r="C18" s="133"/>
      <c r="D18" s="257"/>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5"/>
    </row>
    <row r="19" spans="1:12" hidden="1">
      <c r="A19" s="94">
        <v>13</v>
      </c>
      <c r="B19" s="254"/>
      <c r="C19" s="133"/>
      <c r="D19" s="257"/>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5"/>
    </row>
    <row r="20" spans="1:12" hidden="1">
      <c r="A20" s="94">
        <v>14</v>
      </c>
      <c r="B20" s="255"/>
      <c r="C20" s="134"/>
      <c r="D20" s="257"/>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5"/>
    </row>
    <row r="21" spans="1:12" hidden="1">
      <c r="A21" s="94">
        <v>15</v>
      </c>
      <c r="B21" s="255"/>
      <c r="C21" s="134"/>
      <c r="D21" s="257"/>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5"/>
    </row>
    <row r="22" spans="1:12" hidden="1">
      <c r="A22" s="94">
        <v>16</v>
      </c>
      <c r="B22" s="255"/>
      <c r="C22" s="134"/>
      <c r="D22" s="257"/>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5"/>
    </row>
    <row r="23" spans="1:12" hidden="1">
      <c r="A23" s="94">
        <v>17</v>
      </c>
      <c r="B23" s="255"/>
      <c r="C23" s="134"/>
      <c r="D23" s="257"/>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5"/>
    </row>
    <row r="24" spans="1:12" hidden="1">
      <c r="A24" s="94">
        <v>18</v>
      </c>
      <c r="B24" s="255"/>
      <c r="C24" s="134"/>
      <c r="D24" s="257"/>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5"/>
    </row>
    <row r="25" spans="1:12" hidden="1">
      <c r="A25" s="94">
        <v>19</v>
      </c>
      <c r="B25" s="255"/>
      <c r="C25" s="134"/>
      <c r="D25" s="257"/>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6"/>
    </row>
    <row r="26" spans="1:12" hidden="1">
      <c r="A26" s="94">
        <v>20</v>
      </c>
      <c r="B26" s="255"/>
      <c r="C26" s="134"/>
      <c r="D26" s="257"/>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7"/>
    </row>
    <row r="27" spans="1:12" ht="3" customHeight="1" thickBot="1">
      <c r="A27" s="94"/>
      <c r="B27" s="97"/>
      <c r="C27" s="98"/>
      <c r="D27" s="98"/>
      <c r="E27" s="86"/>
      <c r="F27" s="86"/>
      <c r="G27" s="86"/>
      <c r="H27" s="86"/>
      <c r="I27" s="86"/>
      <c r="J27" s="86"/>
      <c r="K27" s="86"/>
      <c r="L27" s="99"/>
    </row>
    <row r="28" spans="1:12" ht="13.5" thickTop="1">
      <c r="C28" s="100" t="s">
        <v>95</v>
      </c>
      <c r="D28" s="100"/>
      <c r="E28" s="83">
        <f>SUM(E7:E26)</f>
        <v>7.6199999999999992</v>
      </c>
      <c r="F28" s="83">
        <f t="shared" ref="F28:K28" si="2">SUM(F7:F26)</f>
        <v>22.91</v>
      </c>
      <c r="G28" s="83">
        <f t="shared" si="2"/>
        <v>1.8199999999999998</v>
      </c>
      <c r="H28" s="83">
        <f t="shared" si="2"/>
        <v>4.17</v>
      </c>
      <c r="I28" s="83">
        <f t="shared" si="2"/>
        <v>11.4</v>
      </c>
      <c r="J28" s="83">
        <f t="shared" si="2"/>
        <v>6.03</v>
      </c>
      <c r="K28" s="83">
        <f t="shared" si="2"/>
        <v>53.949999999999996</v>
      </c>
      <c r="L28" s="95"/>
    </row>
    <row r="30" spans="1:12" ht="24" customHeight="1" thickBot="1">
      <c r="B30" s="87"/>
      <c r="C30" s="87"/>
      <c r="D30" s="87"/>
      <c r="E30" s="87"/>
      <c r="F30" s="263" t="s">
        <v>109</v>
      </c>
      <c r="G30" s="263" t="s">
        <v>106</v>
      </c>
      <c r="H30" s="262" t="s">
        <v>110</v>
      </c>
      <c r="I30" s="262"/>
      <c r="J30" s="263" t="s">
        <v>81</v>
      </c>
      <c r="L30" s="262" t="s">
        <v>438</v>
      </c>
    </row>
    <row r="31" spans="1:12" s="101" customFormat="1" ht="14.25" thickTop="1" thickBot="1">
      <c r="B31" s="102" t="s">
        <v>105</v>
      </c>
      <c r="C31" s="92"/>
      <c r="D31" s="92"/>
      <c r="E31" s="92"/>
      <c r="F31" s="263"/>
      <c r="G31" s="263"/>
      <c r="H31" s="92" t="s">
        <v>111</v>
      </c>
      <c r="I31" s="92" t="s">
        <v>89</v>
      </c>
      <c r="J31" s="263"/>
      <c r="K31" s="92" t="s">
        <v>107</v>
      </c>
      <c r="L31" s="263"/>
    </row>
    <row r="32" spans="1:12" ht="13.5" thickTop="1">
      <c r="A32" s="1"/>
      <c r="B32" s="254" t="s">
        <v>43</v>
      </c>
      <c r="C32" s="266" t="str">
        <f>IF(B32=0,"",VLOOKUP($B32,Materials[],2,FALSE))</f>
        <v>Seed</v>
      </c>
      <c r="D32" s="266"/>
      <c r="E32" s="266"/>
      <c r="F32" s="133">
        <v>4</v>
      </c>
      <c r="G32" s="136">
        <v>1</v>
      </c>
      <c r="H32" s="137">
        <v>1</v>
      </c>
      <c r="I32" s="103" t="str">
        <f>IF($B32=0,"",VLOOKUP($B32,Materials[],5,FALSE))</f>
        <v>acre</v>
      </c>
      <c r="J32" s="104">
        <f>IF($B32=0,"",VLOOKUP($B32,Materials[],7,FALSE))</f>
        <v>37</v>
      </c>
      <c r="K32" s="83">
        <f>IF(B32=0,0,ROUND(G32*H32*J32,2))</f>
        <v>37</v>
      </c>
      <c r="L32" s="95"/>
    </row>
    <row r="33" spans="1:12">
      <c r="A33" s="1"/>
      <c r="B33" s="254" t="s">
        <v>41</v>
      </c>
      <c r="C33" s="266" t="str">
        <f>IF(B33=0,"",VLOOKUP($B33,Materials[],2,FALSE))</f>
        <v>Rental</v>
      </c>
      <c r="D33" s="266"/>
      <c r="E33" s="266"/>
      <c r="F33" s="133">
        <v>4</v>
      </c>
      <c r="G33" s="136">
        <v>1</v>
      </c>
      <c r="H33" s="137">
        <v>1</v>
      </c>
      <c r="I33" s="103" t="str">
        <f>IF($B33=0,"",VLOOKUP($B33,Materials[],5,FALSE))</f>
        <v>acre</v>
      </c>
      <c r="J33" s="104">
        <f>IF($B33=0,"",VLOOKUP($B33,Materials[],7,FALSE))</f>
        <v>8</v>
      </c>
      <c r="K33" s="83">
        <f t="shared" ref="K33:K51" si="3">IF(B33=0,0,ROUND(G33*H33*J33,2))</f>
        <v>8</v>
      </c>
      <c r="L33" s="95"/>
    </row>
    <row r="34" spans="1:12">
      <c r="A34" s="1"/>
      <c r="B34" s="254" t="s">
        <v>9</v>
      </c>
      <c r="C34" s="266" t="str">
        <f>IF(B34=0,"",VLOOKUP($B34,Materials[],2,FALSE))</f>
        <v>Fertilizer</v>
      </c>
      <c r="D34" s="266"/>
      <c r="E34" s="266"/>
      <c r="F34" s="133">
        <v>6</v>
      </c>
      <c r="G34" s="136">
        <v>1</v>
      </c>
      <c r="H34" s="137">
        <v>60</v>
      </c>
      <c r="I34" s="103" t="str">
        <f>IF($B34=0,"",VLOOKUP($B34,Materials[],5,FALSE))</f>
        <v>pound</v>
      </c>
      <c r="J34" s="104">
        <f>IF($B34=0,"",VLOOKUP($B34,Materials[],7,FALSE))</f>
        <v>0.38</v>
      </c>
      <c r="K34" s="83">
        <f t="shared" si="3"/>
        <v>22.8</v>
      </c>
      <c r="L34" s="95"/>
    </row>
    <row r="35" spans="1:12" hidden="1">
      <c r="A35" s="1"/>
      <c r="B35" s="254"/>
      <c r="C35" s="266" t="str">
        <f>IF(B35=0,"",VLOOKUP($B35,Materials[],2,FALSE))</f>
        <v/>
      </c>
      <c r="D35" s="266"/>
      <c r="E35" s="266"/>
      <c r="F35" s="133"/>
      <c r="G35" s="136"/>
      <c r="H35" s="137"/>
      <c r="I35" s="103" t="str">
        <f>IF($B35=0,"",VLOOKUP($B35,Materials[],5,FALSE))</f>
        <v/>
      </c>
      <c r="J35" s="104" t="str">
        <f>IF($B35=0,"",VLOOKUP($B35,Materials[],7,FALSE))</f>
        <v/>
      </c>
      <c r="K35" s="83">
        <f t="shared" si="3"/>
        <v>0</v>
      </c>
      <c r="L35" s="95"/>
    </row>
    <row r="36" spans="1:12" hidden="1">
      <c r="A36" s="1"/>
      <c r="B36" s="254"/>
      <c r="C36" s="266" t="str">
        <f>IF(B36=0,"",VLOOKUP($B36,Materials[],2,FALSE))</f>
        <v/>
      </c>
      <c r="D36" s="266"/>
      <c r="E36" s="266"/>
      <c r="F36" s="133"/>
      <c r="G36" s="136"/>
      <c r="H36" s="138"/>
      <c r="I36" s="103" t="str">
        <f>IF($B36=0,"",VLOOKUP($B36,Materials[],5,FALSE))</f>
        <v/>
      </c>
      <c r="J36" s="104" t="str">
        <f>IF($B36=0,"",VLOOKUP($B36,Materials[],7,FALSE))</f>
        <v/>
      </c>
      <c r="K36" s="83">
        <f t="shared" si="3"/>
        <v>0</v>
      </c>
      <c r="L36" s="95"/>
    </row>
    <row r="37" spans="1:12" hidden="1">
      <c r="A37" s="1"/>
      <c r="B37" s="254"/>
      <c r="C37" s="266" t="str">
        <f>IF(B37=0,"",VLOOKUP($B37,Materials[],2,FALSE))</f>
        <v/>
      </c>
      <c r="D37" s="266"/>
      <c r="E37" s="266"/>
      <c r="F37" s="133"/>
      <c r="G37" s="136"/>
      <c r="H37" s="138"/>
      <c r="I37" s="103" t="str">
        <f>IF($B37=0,"",VLOOKUP($B37,Materials[],5,FALSE))</f>
        <v/>
      </c>
      <c r="J37" s="104" t="str">
        <f>IF($B37=0,"",VLOOKUP($B37,Materials[],7,FALSE))</f>
        <v/>
      </c>
      <c r="K37" s="83">
        <f t="shared" si="3"/>
        <v>0</v>
      </c>
      <c r="L37" s="95"/>
    </row>
    <row r="38" spans="1:12" hidden="1">
      <c r="A38" s="124"/>
      <c r="B38" s="254"/>
      <c r="C38" s="266" t="str">
        <f>IF(B38=0,"",VLOOKUP($B38,Materials[],2,FALSE))</f>
        <v/>
      </c>
      <c r="D38" s="266"/>
      <c r="E38" s="266"/>
      <c r="F38" s="133"/>
      <c r="G38" s="136"/>
      <c r="H38" s="137"/>
      <c r="I38" s="103" t="str">
        <f>IF($B38=0,"",VLOOKUP($B38,Materials[],5,FALSE))</f>
        <v/>
      </c>
      <c r="J38" s="104" t="str">
        <f>IF($B38=0,"",VLOOKUP($B38,Materials[],7,FALSE))</f>
        <v/>
      </c>
      <c r="K38" s="83">
        <f t="shared" si="3"/>
        <v>0</v>
      </c>
      <c r="L38" s="95"/>
    </row>
    <row r="39" spans="1:12" hidden="1">
      <c r="A39" s="124"/>
      <c r="B39" s="254"/>
      <c r="C39" s="266" t="str">
        <f>IF(B39=0,"",VLOOKUP($B39,Materials[],2,FALSE))</f>
        <v/>
      </c>
      <c r="D39" s="266"/>
      <c r="E39" s="266"/>
      <c r="F39" s="133"/>
      <c r="G39" s="136"/>
      <c r="H39" s="137"/>
      <c r="I39" s="103" t="str">
        <f>IF($B39=0,"",VLOOKUP($B39,Materials[],5,FALSE))</f>
        <v/>
      </c>
      <c r="J39" s="104" t="str">
        <f>IF($B39=0,"",VLOOKUP($B39,Materials[],7,FALSE))</f>
        <v/>
      </c>
      <c r="K39" s="83">
        <f t="shared" si="3"/>
        <v>0</v>
      </c>
      <c r="L39" s="95"/>
    </row>
    <row r="40" spans="1:12" hidden="1">
      <c r="A40" s="124"/>
      <c r="B40" s="254"/>
      <c r="C40" s="266" t="str">
        <f>IF(B40=0,"",VLOOKUP($B40,Materials[],2,FALSE))</f>
        <v/>
      </c>
      <c r="D40" s="266"/>
      <c r="E40" s="266"/>
      <c r="F40" s="133"/>
      <c r="G40" s="136"/>
      <c r="H40" s="137"/>
      <c r="I40" s="103" t="str">
        <f>IF($B40=0,"",VLOOKUP($B40,Materials[],5,FALSE))</f>
        <v/>
      </c>
      <c r="J40" s="104" t="str">
        <f>IF($B40=0,"",VLOOKUP($B40,Materials[],7,FALSE))</f>
        <v/>
      </c>
      <c r="K40" s="83">
        <f t="shared" si="3"/>
        <v>0</v>
      </c>
      <c r="L40" s="95"/>
    </row>
    <row r="41" spans="1:12" hidden="1">
      <c r="A41" s="124"/>
      <c r="B41" s="254"/>
      <c r="C41" s="266" t="str">
        <f>IF(B41=0,"",VLOOKUP($B41,Materials[],2,FALSE))</f>
        <v/>
      </c>
      <c r="D41" s="266"/>
      <c r="E41" s="266"/>
      <c r="F41" s="133"/>
      <c r="G41" s="136"/>
      <c r="H41" s="137"/>
      <c r="I41" s="103" t="str">
        <f>IF($B41=0,"",VLOOKUP($B41,Materials[],5,FALSE))</f>
        <v/>
      </c>
      <c r="J41" s="104" t="str">
        <f>IF($B41=0,"",VLOOKUP($B41,Materials[],7,FALSE))</f>
        <v/>
      </c>
      <c r="K41" s="83">
        <f t="shared" si="3"/>
        <v>0</v>
      </c>
      <c r="L41" s="95"/>
    </row>
    <row r="42" spans="1:12" hidden="1">
      <c r="A42" s="124"/>
      <c r="B42" s="254"/>
      <c r="C42" s="266" t="str">
        <f>IF(B42=0,"",VLOOKUP($B42,Materials[],2,FALSE))</f>
        <v/>
      </c>
      <c r="D42" s="266"/>
      <c r="E42" s="266"/>
      <c r="F42" s="133"/>
      <c r="G42" s="136"/>
      <c r="H42" s="137"/>
      <c r="I42" s="103" t="str">
        <f>IF($B42=0,"",VLOOKUP($B42,Materials[],5,FALSE))</f>
        <v/>
      </c>
      <c r="J42" s="104" t="str">
        <f>IF($B42=0,"",VLOOKUP($B42,Materials[],7,FALSE))</f>
        <v/>
      </c>
      <c r="K42" s="83">
        <f t="shared" si="3"/>
        <v>0</v>
      </c>
      <c r="L42" s="95"/>
    </row>
    <row r="43" spans="1:12" hidden="1">
      <c r="A43" s="1"/>
      <c r="B43" s="254"/>
      <c r="C43" s="266" t="str">
        <f>IF(B43=0,"",VLOOKUP($B43,Materials[],2,FALSE))</f>
        <v/>
      </c>
      <c r="D43" s="266"/>
      <c r="E43" s="266"/>
      <c r="F43" s="133"/>
      <c r="G43" s="136"/>
      <c r="H43" s="137"/>
      <c r="I43" s="103" t="str">
        <f>IF($B43=0,"",VLOOKUP($B43,Materials[],5,FALSE))</f>
        <v/>
      </c>
      <c r="J43" s="104" t="str">
        <f>IF($B43=0,"",VLOOKUP($B43,Materials[],7,FALSE))</f>
        <v/>
      </c>
      <c r="K43" s="83">
        <f t="shared" si="3"/>
        <v>0</v>
      </c>
      <c r="L43" s="95"/>
    </row>
    <row r="44" spans="1:12" hidden="1">
      <c r="A44" s="1"/>
      <c r="B44" s="254"/>
      <c r="C44" s="266" t="str">
        <f>IF(B44=0,"",VLOOKUP($B44,Materials[],2,FALSE))</f>
        <v/>
      </c>
      <c r="D44" s="266"/>
      <c r="E44" s="266"/>
      <c r="F44" s="133"/>
      <c r="G44" s="136"/>
      <c r="H44" s="137"/>
      <c r="I44" s="103" t="str">
        <f>IF($B44=0,"",VLOOKUP($B44,Materials[],5,FALSE))</f>
        <v/>
      </c>
      <c r="J44" s="104" t="str">
        <f>IF($B44=0,"",VLOOKUP($B44,Materials[],7,FALSE))</f>
        <v/>
      </c>
      <c r="K44" s="83">
        <f t="shared" si="3"/>
        <v>0</v>
      </c>
      <c r="L44" s="95"/>
    </row>
    <row r="45" spans="1:12" hidden="1">
      <c r="B45" s="255"/>
      <c r="C45" s="266" t="str">
        <f>IF(B45=0,"",VLOOKUP($B45,Materials[],2,FALSE))</f>
        <v/>
      </c>
      <c r="D45" s="266"/>
      <c r="E45" s="266"/>
      <c r="F45" s="134"/>
      <c r="G45" s="136"/>
      <c r="H45" s="139"/>
      <c r="I45" s="103" t="str">
        <f>IF($B45=0,"",VLOOKUP($B45,Materials[],5,FALSE))</f>
        <v/>
      </c>
      <c r="J45" s="104" t="str">
        <f>IF($B45=0,"",VLOOKUP($B45,Materials[],7,FALSE))</f>
        <v/>
      </c>
      <c r="K45" s="83">
        <f t="shared" si="3"/>
        <v>0</v>
      </c>
      <c r="L45" s="95"/>
    </row>
    <row r="46" spans="1:12" hidden="1">
      <c r="B46" s="255"/>
      <c r="C46" s="266" t="str">
        <f>IF(B46=0,"",VLOOKUP($B46,Materials[],2,FALSE))</f>
        <v/>
      </c>
      <c r="D46" s="266"/>
      <c r="E46" s="266"/>
      <c r="F46" s="134"/>
      <c r="G46" s="136"/>
      <c r="H46" s="139"/>
      <c r="I46" s="103" t="str">
        <f>IF($B46=0,"",VLOOKUP($B46,Materials[],5,FALSE))</f>
        <v/>
      </c>
      <c r="J46" s="104" t="str">
        <f>IF($B46=0,"",VLOOKUP($B46,Materials[],7,FALSE))</f>
        <v/>
      </c>
      <c r="K46" s="83">
        <f t="shared" si="3"/>
        <v>0</v>
      </c>
      <c r="L46" s="95"/>
    </row>
    <row r="47" spans="1:12" hidden="1">
      <c r="B47" s="255"/>
      <c r="C47" s="266" t="str">
        <f>IF(B47=0,"",VLOOKUP($B47,Materials[],2,FALSE))</f>
        <v/>
      </c>
      <c r="D47" s="266"/>
      <c r="E47" s="266"/>
      <c r="F47" s="134"/>
      <c r="G47" s="140"/>
      <c r="H47" s="139"/>
      <c r="I47" s="103" t="str">
        <f>IF($B47=0,"",VLOOKUP($B47,Materials[],5,FALSE))</f>
        <v/>
      </c>
      <c r="J47" s="104" t="str">
        <f>IF($B47=0,"",VLOOKUP($B47,Materials[],7,FALSE))</f>
        <v/>
      </c>
      <c r="K47" s="83">
        <f t="shared" si="3"/>
        <v>0</v>
      </c>
      <c r="L47" s="95"/>
    </row>
    <row r="48" spans="1:12" hidden="1">
      <c r="B48" s="255"/>
      <c r="C48" s="266" t="str">
        <f>IF(B48=0,"",VLOOKUP($B48,Materials[],2,FALSE))</f>
        <v/>
      </c>
      <c r="D48" s="266"/>
      <c r="E48" s="266"/>
      <c r="F48" s="134"/>
      <c r="G48" s="140"/>
      <c r="H48" s="139"/>
      <c r="I48" s="103" t="str">
        <f>IF($B48=0,"",VLOOKUP($B48,Materials[],5,FALSE))</f>
        <v/>
      </c>
      <c r="J48" s="104" t="str">
        <f>IF($B48=0,"",VLOOKUP($B48,Materials[],7,FALSE))</f>
        <v/>
      </c>
      <c r="K48" s="83">
        <f t="shared" si="3"/>
        <v>0</v>
      </c>
      <c r="L48" s="95"/>
    </row>
    <row r="49" spans="2:12" hidden="1">
      <c r="B49" s="255"/>
      <c r="C49" s="266" t="str">
        <f>IF(B49=0,"",VLOOKUP($B49,Materials[],2,FALSE))</f>
        <v/>
      </c>
      <c r="D49" s="266"/>
      <c r="E49" s="266"/>
      <c r="F49" s="134"/>
      <c r="G49" s="140"/>
      <c r="H49" s="139"/>
      <c r="I49" s="103" t="str">
        <f>IF($B49=0,"",VLOOKUP($B49,Materials[],5,FALSE))</f>
        <v/>
      </c>
      <c r="J49" s="104" t="str">
        <f>IF($B49=0,"",VLOOKUP($B49,Materials[],7,FALSE))</f>
        <v/>
      </c>
      <c r="K49" s="83">
        <f t="shared" si="3"/>
        <v>0</v>
      </c>
      <c r="L49" s="95"/>
    </row>
    <row r="50" spans="2:12" hidden="1">
      <c r="B50" s="255"/>
      <c r="C50" s="266" t="str">
        <f>IF(B50=0,"",VLOOKUP($B50,Materials[],2,FALSE))</f>
        <v/>
      </c>
      <c r="D50" s="266"/>
      <c r="E50" s="266"/>
      <c r="F50" s="134"/>
      <c r="G50" s="140"/>
      <c r="H50" s="139"/>
      <c r="I50" s="103" t="str">
        <f>IF($B50=0,"",VLOOKUP($B50,Materials[],5,FALSE))</f>
        <v/>
      </c>
      <c r="J50" s="104" t="str">
        <f>IF($B50=0,"",VLOOKUP($B50,Materials[],7,FALSE))</f>
        <v/>
      </c>
      <c r="K50" s="83">
        <f t="shared" si="3"/>
        <v>0</v>
      </c>
      <c r="L50" s="96"/>
    </row>
    <row r="51" spans="2:12" hidden="1">
      <c r="B51" s="255"/>
      <c r="C51" s="266" t="str">
        <f>IF(B51=0,"",VLOOKUP($B51,Materials[],2,FALSE))</f>
        <v/>
      </c>
      <c r="D51" s="266"/>
      <c r="E51" s="266"/>
      <c r="F51" s="134"/>
      <c r="G51" s="140"/>
      <c r="H51" s="139"/>
      <c r="I51" s="103" t="str">
        <f>IF($B51=0,"",VLOOKUP($B51,Materials[],5,FALSE))</f>
        <v/>
      </c>
      <c r="J51" s="104" t="str">
        <f>IF($B51=0,"",VLOOKUP($B51,Materials[],7,FALSE))</f>
        <v/>
      </c>
      <c r="K51" s="84">
        <f t="shared" si="3"/>
        <v>0</v>
      </c>
      <c r="L51" s="96"/>
    </row>
    <row r="52" spans="2:12" ht="3.75" customHeight="1" thickBot="1">
      <c r="B52" s="97"/>
      <c r="C52" s="105"/>
      <c r="D52" s="105"/>
      <c r="E52" s="105"/>
      <c r="F52" s="98"/>
      <c r="G52" s="106"/>
      <c r="H52" s="107"/>
      <c r="I52" s="108"/>
      <c r="J52" s="109"/>
      <c r="K52" s="86"/>
      <c r="L52" s="99"/>
    </row>
    <row r="53" spans="2:12" ht="13.5" thickTop="1">
      <c r="C53" s="100" t="s">
        <v>108</v>
      </c>
      <c r="D53" s="100"/>
      <c r="J53" s="83"/>
      <c r="K53" s="83">
        <f>SUM(K32:K51)</f>
        <v>67.8</v>
      </c>
      <c r="L53" s="95"/>
    </row>
    <row r="54" spans="2:12">
      <c r="B54" s="125"/>
    </row>
    <row r="55" spans="2:12">
      <c r="B55" s="90" t="s">
        <v>112</v>
      </c>
      <c r="K55" s="83">
        <f>K28+K53</f>
        <v>121.75</v>
      </c>
      <c r="L55" s="95"/>
    </row>
    <row r="56" spans="2:12" ht="13.5" thickBot="1">
      <c r="D56" s="110" t="s">
        <v>439</v>
      </c>
      <c r="E56" s="111">
        <f>SUM($E$28:$H$28)+$K$53</f>
        <v>104.32</v>
      </c>
      <c r="F56" s="268" t="s">
        <v>440</v>
      </c>
      <c r="G56" s="268"/>
      <c r="H56" s="112">
        <f>'General Variables'!$B$9</f>
        <v>0.08</v>
      </c>
      <c r="I56" s="113" t="str">
        <f>CONCATENATE("for ",TEXT('General Variables'!$B$10,"0.0")," mo.")</f>
        <v>for 6.0 mo.</v>
      </c>
      <c r="K56" s="114">
        <f>ROUND(E56*H56*'General Variables'!$B$10/12,2)</f>
        <v>4.17</v>
      </c>
      <c r="L56" s="115"/>
    </row>
    <row r="57" spans="2:12" ht="13.5" thickTop="1">
      <c r="B57" s="90" t="s">
        <v>444</v>
      </c>
      <c r="K57" s="83">
        <f>SUM(K55:K56)</f>
        <v>125.92</v>
      </c>
      <c r="L57" s="95"/>
    </row>
    <row r="59" spans="2:12">
      <c r="B59" s="116" t="s">
        <v>487</v>
      </c>
      <c r="C59" s="117"/>
      <c r="D59" s="117"/>
      <c r="E59" s="117"/>
      <c r="F59" s="117"/>
      <c r="G59" s="117"/>
      <c r="H59" s="117"/>
      <c r="I59" s="117"/>
      <c r="J59" s="117"/>
      <c r="K59" s="118">
        <f>'General Variables'!B12</f>
        <v>5</v>
      </c>
      <c r="L59" s="95"/>
    </row>
    <row r="60" spans="2:12">
      <c r="B60" s="39" t="s">
        <v>447</v>
      </c>
      <c r="C60" s="269" t="s">
        <v>453</v>
      </c>
      <c r="D60" s="270"/>
      <c r="E60" s="271"/>
      <c r="F60" s="119">
        <f>IF(C60=0,0,VLOOKUP(C60,RETable,2,FALSE))</f>
        <v>4343</v>
      </c>
      <c r="G60" s="268" t="s">
        <v>448</v>
      </c>
      <c r="H60" s="268"/>
      <c r="I60" s="112">
        <f>'General Variables'!$B$8</f>
        <v>0.04</v>
      </c>
      <c r="K60" s="120">
        <f>ROUND(F60*I60,2)</f>
        <v>173.72</v>
      </c>
      <c r="L60" s="95"/>
    </row>
    <row r="61" spans="2:12" ht="13.5" thickBot="1">
      <c r="B61" s="39" t="s">
        <v>458</v>
      </c>
      <c r="F61" s="121">
        <f>IF(C60=0,0,VLOOKUP(C60,RETable,2,FALSE))</f>
        <v>4343</v>
      </c>
      <c r="G61" s="267" t="s">
        <v>448</v>
      </c>
      <c r="H61" s="267"/>
      <c r="I61" s="122">
        <f>'General Variables'!$B$11</f>
        <v>0.01</v>
      </c>
      <c r="J61" s="1"/>
      <c r="K61" s="123">
        <f>ROUND(F61*I61,2)</f>
        <v>43.43</v>
      </c>
      <c r="L61" s="115"/>
    </row>
    <row r="62" spans="2:12" ht="13.5" thickTop="1">
      <c r="B62" s="90" t="s">
        <v>472</v>
      </c>
      <c r="K62" s="83">
        <f>SUM(K57:K61)</f>
        <v>348.07</v>
      </c>
      <c r="L62" s="95"/>
    </row>
    <row r="64" spans="2:12">
      <c r="B64" s="89"/>
      <c r="C64" s="87"/>
      <c r="D64" s="87"/>
      <c r="E64" s="87"/>
      <c r="F64" s="87"/>
      <c r="G64" s="87"/>
      <c r="H64" s="87"/>
      <c r="I64" s="87"/>
      <c r="J64" s="87"/>
      <c r="K64" s="84"/>
      <c r="L64" s="87"/>
    </row>
    <row r="65" spans="2:12">
      <c r="B65" s="81"/>
      <c r="C65" s="82"/>
      <c r="D65" s="82"/>
      <c r="E65" s="82"/>
      <c r="F65" s="82"/>
      <c r="G65" s="82"/>
      <c r="H65" s="82"/>
      <c r="I65" s="82"/>
      <c r="J65" s="82"/>
      <c r="K65" s="85" t="e">
        <f>IF($A$3="Yield",0,(E56+K56+K61)/$A$3)</f>
        <v>#DIV/0!</v>
      </c>
      <c r="L65" s="82"/>
    </row>
    <row r="75" spans="2:12">
      <c r="B75" s="88"/>
      <c r="C75" s="88"/>
      <c r="D75" s="88"/>
    </row>
    <row r="76" spans="2:12">
      <c r="B76" s="88"/>
      <c r="C76" s="88"/>
      <c r="D76" s="88"/>
    </row>
    <row r="77" spans="2:12">
      <c r="B77" s="88"/>
      <c r="C77" s="88"/>
      <c r="D77" s="88"/>
    </row>
    <row r="78" spans="2:12">
      <c r="B78" s="88"/>
      <c r="C78" s="88"/>
      <c r="D78" s="88"/>
    </row>
    <row r="79" spans="2:12">
      <c r="B79" s="88"/>
      <c r="C79" s="88"/>
      <c r="D79" s="88"/>
    </row>
    <row r="80" spans="2:12">
      <c r="B80" s="88"/>
      <c r="C80" s="88"/>
      <c r="D80" s="88"/>
    </row>
    <row r="81" spans="2:4">
      <c r="B81" s="88"/>
      <c r="C81" s="88"/>
      <c r="D81" s="88"/>
    </row>
    <row r="82" spans="2:4">
      <c r="B82" s="88"/>
      <c r="C82" s="88"/>
      <c r="D82" s="88"/>
    </row>
    <row r="83" spans="2:4">
      <c r="B83" s="88"/>
      <c r="C83" s="88"/>
      <c r="D83" s="88"/>
    </row>
    <row r="84" spans="2:4">
      <c r="B84" s="88"/>
      <c r="C84" s="88"/>
      <c r="D84" s="88"/>
    </row>
    <row r="85" spans="2:4">
      <c r="B85" s="88"/>
      <c r="C85" s="88"/>
      <c r="D85" s="88"/>
    </row>
    <row r="86" spans="2:4">
      <c r="B86" s="88"/>
      <c r="C86" s="88"/>
      <c r="D86" s="88"/>
    </row>
    <row r="87" spans="2:4">
      <c r="B87" s="88"/>
      <c r="C87" s="88"/>
      <c r="D87" s="88"/>
    </row>
    <row r="88" spans="2:4">
      <c r="B88" s="88"/>
      <c r="C88" s="88"/>
      <c r="D88" s="88"/>
    </row>
    <row r="89" spans="2:4">
      <c r="B89" s="88"/>
      <c r="C89" s="88"/>
      <c r="D89" s="88"/>
    </row>
    <row r="90" spans="2:4">
      <c r="B90" s="88"/>
      <c r="C90" s="88"/>
      <c r="D90" s="88"/>
    </row>
    <row r="91" spans="2:4">
      <c r="B91" s="88"/>
      <c r="C91" s="88"/>
      <c r="D91" s="88"/>
    </row>
    <row r="92" spans="2:4">
      <c r="B92" s="88"/>
      <c r="C92" s="88"/>
      <c r="D92" s="88"/>
    </row>
    <row r="93" spans="2:4">
      <c r="B93" s="88"/>
      <c r="C93" s="88"/>
      <c r="D93" s="88"/>
    </row>
    <row r="94" spans="2:4">
      <c r="B94" s="88"/>
      <c r="C94" s="88"/>
      <c r="D94" s="88"/>
    </row>
    <row r="95" spans="2:4">
      <c r="B95" s="88"/>
      <c r="C95" s="88"/>
      <c r="D95" s="88"/>
    </row>
    <row r="96" spans="2:4">
      <c r="B96" s="88"/>
      <c r="C96" s="88"/>
      <c r="D96" s="88"/>
    </row>
    <row r="97" spans="2:6">
      <c r="B97" s="88"/>
      <c r="C97" s="88"/>
      <c r="D97" s="88"/>
    </row>
    <row r="98" spans="2:6">
      <c r="B98" s="88"/>
      <c r="C98" s="88"/>
      <c r="D98" s="88"/>
    </row>
    <row r="99" spans="2:6">
      <c r="B99" s="88"/>
      <c r="C99" s="88"/>
      <c r="D99" s="88"/>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sheetPr codeName="Sheet32">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7" t="s">
        <v>538</v>
      </c>
      <c r="B1" s="89"/>
      <c r="C1" s="87"/>
      <c r="D1" s="87"/>
      <c r="E1" s="89"/>
      <c r="F1" s="87"/>
      <c r="G1" s="87"/>
      <c r="H1" s="129" t="s">
        <v>114</v>
      </c>
      <c r="I1" s="89"/>
      <c r="J1" s="90"/>
      <c r="K1" s="100" t="str">
        <f>'General Variables'!A1&amp;" "&amp;'General Variables'!B1</f>
        <v>Year 2011</v>
      </c>
      <c r="O1" s="88" t="s">
        <v>528</v>
      </c>
    </row>
    <row r="2" spans="1:15">
      <c r="A2" s="127" t="s">
        <v>116</v>
      </c>
      <c r="B2" s="89"/>
      <c r="C2" s="87"/>
      <c r="D2" s="87"/>
      <c r="E2" s="89"/>
      <c r="F2" s="87"/>
      <c r="G2" s="87"/>
      <c r="H2" s="132" t="s">
        <v>431</v>
      </c>
      <c r="I2" s="252" t="str">
        <f>IF(H2="","","acre-inches")</f>
        <v/>
      </c>
      <c r="J2" s="90"/>
      <c r="K2" s="90"/>
      <c r="O2" s="88" t="s">
        <v>527</v>
      </c>
    </row>
    <row r="3" spans="1:15">
      <c r="A3" s="127">
        <v>2.2000000000000002</v>
      </c>
      <c r="B3" s="127" t="s">
        <v>76</v>
      </c>
      <c r="C3" s="87"/>
      <c r="D3" s="87"/>
      <c r="E3" s="89"/>
      <c r="F3" s="89"/>
      <c r="G3" s="89"/>
      <c r="H3" s="89"/>
      <c r="I3" s="89"/>
      <c r="J3" s="90"/>
      <c r="K3" s="90"/>
      <c r="O3" s="88" t="str">
        <f>B3</f>
        <v>ton</v>
      </c>
    </row>
    <row r="5" spans="1:15" s="90" customFormat="1" ht="22.5" customHeight="1">
      <c r="B5" s="260" t="s">
        <v>92</v>
      </c>
      <c r="C5" s="262" t="s">
        <v>1</v>
      </c>
      <c r="D5" s="91"/>
      <c r="E5" s="262" t="str">
        <f>"Labor @ $" &amp;TEXT('General Variables'!B2,"#.00")&amp; " /Hr"</f>
        <v>Labor @ $12.00 /Hr</v>
      </c>
      <c r="F5" s="262" t="str">
        <f>"Fuel @ $" &amp; TEXT('General Variables'!B3,"#.00") &amp; " and Lube"</f>
        <v>Fuel @ $3.00 and Lube</v>
      </c>
      <c r="G5" s="264" t="s">
        <v>93</v>
      </c>
      <c r="H5" s="264"/>
      <c r="I5" s="264" t="s">
        <v>416</v>
      </c>
      <c r="J5" s="264"/>
      <c r="K5" s="264" t="s">
        <v>2</v>
      </c>
      <c r="L5" s="262" t="s">
        <v>438</v>
      </c>
    </row>
    <row r="6" spans="1:15" s="90" customFormat="1" ht="17.25" customHeight="1" thickBot="1">
      <c r="B6" s="261"/>
      <c r="C6" s="263"/>
      <c r="D6" s="92" t="s">
        <v>89</v>
      </c>
      <c r="E6" s="263"/>
      <c r="F6" s="263"/>
      <c r="G6" s="93" t="s">
        <v>94</v>
      </c>
      <c r="H6" s="93" t="s">
        <v>96</v>
      </c>
      <c r="I6" s="93" t="s">
        <v>94</v>
      </c>
      <c r="J6" s="93" t="s">
        <v>96</v>
      </c>
      <c r="K6" s="265"/>
      <c r="L6" s="263"/>
    </row>
    <row r="7" spans="1:15" ht="13.5" thickTop="1">
      <c r="A7" s="94">
        <v>1</v>
      </c>
      <c r="B7" s="255" t="s">
        <v>350</v>
      </c>
      <c r="C7" s="134">
        <v>1</v>
      </c>
      <c r="D7" s="256"/>
      <c r="E7" s="84">
        <f>IF(B7=0,"",IF(C7&gt;9999,"",ROUND('General Variables'!$B$2*VLOOKUP(B7,Operations[],10,FALSE)/VLOOKUP(B7,Operations[],9,FALSE)*C7,2)))</f>
        <v>0.94</v>
      </c>
      <c r="F7" s="84">
        <f>IF(B7=0,0,IF(C7&gt;9999,"",ROUND(IF(VLOOKUP(B7,Operations[],12,FALSE)=0,VLOOKUP(B7,Operations[],13,FALSE)*'General Variables'!$B$6,VLOOKUP(B7,Operations[],12,FALSE)*'General Variables'!$B$5)/VLOOKUP(B7,Operations[],9,FALSE)*C7,2)))</f>
        <v>1.05</v>
      </c>
      <c r="G7" s="84">
        <f>IF(B7=0,0,IF(C7&gt;9999,"",ROUND(VLOOKUP(VLOOKUP(B7,Operations[],11,FALSE),PowerUnits[],10,FALSE)/VLOOKUP(B7,Operations[],9,FALSE)*C7,2)))</f>
        <v>0.19</v>
      </c>
      <c r="H7" s="84">
        <f>IF(B7=0,"",IF(C7&gt;9999,"",ROUND(VLOOKUP($B7,Operations[],15,FALSE)*C7,2)))</f>
        <v>0</v>
      </c>
      <c r="I7" s="84">
        <f>IF(B7=0,0,IF(C7&gt;9999,"",ROUND(VLOOKUP(VLOOKUP(B7,Operations[],11,FALSE),PowerUnits[],16,FALSE)/VLOOKUP(B7,Operations[],9,FALSE)*C7,2)))</f>
        <v>1.08</v>
      </c>
      <c r="J7" s="84">
        <f>IF(B7=0,"",IF(C7&gt;9999,"",ROUND(VLOOKUP($B7,Operations[],21,FALSE)*$C7,2)))</f>
        <v>0</v>
      </c>
      <c r="K7" s="84">
        <f>IF(C7&gt;9999,"",ROUND(SUM(E7:J7),2))</f>
        <v>3.26</v>
      </c>
      <c r="L7" s="95"/>
    </row>
    <row r="8" spans="1:15">
      <c r="A8" s="94">
        <v>2</v>
      </c>
      <c r="B8" s="255" t="s">
        <v>353</v>
      </c>
      <c r="C8" s="134">
        <v>1</v>
      </c>
      <c r="D8" s="256"/>
      <c r="E8" s="84">
        <f>IF(B8=0,"",IF(C8&gt;9999,"",ROUND('General Variables'!$B$2*VLOOKUP(B8,Operations[],10,FALSE)/VLOOKUP(B8,Operations[],9,FALSE)*C8,2)))</f>
        <v>1.49</v>
      </c>
      <c r="F8" s="84">
        <f>IF(B8=0,0,IF(C8&gt;9999,"",ROUND(IF(VLOOKUP(B8,Operations[],12,FALSE)=0,VLOOKUP(B8,Operations[],13,FALSE)*'General Variables'!$B$6,VLOOKUP(B8,Operations[],12,FALSE)*'General Variables'!$B$5)/VLOOKUP(B8,Operations[],9,FALSE)*C8,2)))</f>
        <v>2.14</v>
      </c>
      <c r="G8" s="84">
        <f>IF(B8=0,0,IF(C8&gt;9999,"",ROUND(VLOOKUP(VLOOKUP(B8,Operations[],11,FALSE),PowerUnits[],10,FALSE)/VLOOKUP(B8,Operations[],9,FALSE)*C8,2)))</f>
        <v>2.14</v>
      </c>
      <c r="H8" s="84">
        <f>IF(B8=0,"",IF(C8&gt;9999,"",ROUND(VLOOKUP($B8,Operations[],15,FALSE)*C8,2)))</f>
        <v>0</v>
      </c>
      <c r="I8" s="84">
        <f>IF(B8=0,0,IF(C8&gt;9999,"",ROUND(VLOOKUP(VLOOKUP(B8,Operations[],11,FALSE),PowerUnits[],16,FALSE)/VLOOKUP(B8,Operations[],9,FALSE)*C8,2)))</f>
        <v>1.55</v>
      </c>
      <c r="J8" s="84">
        <f>IF(B8=0,"",IF(C8&gt;9999,"",ROUND(VLOOKUP($B8,Operations[],21,FALSE)*$C8,2)))</f>
        <v>0</v>
      </c>
      <c r="K8" s="84">
        <f t="shared" ref="K8:K26" si="0">IF(C8&gt;9999,"",ROUND(SUM(E8:J8),2))</f>
        <v>7.32</v>
      </c>
      <c r="L8" s="95"/>
    </row>
    <row r="9" spans="1:15">
      <c r="A9" s="94">
        <v>3</v>
      </c>
      <c r="B9" s="255" t="s">
        <v>327</v>
      </c>
      <c r="C9" s="133">
        <f>A3</f>
        <v>2.2000000000000002</v>
      </c>
      <c r="D9" s="256" t="s">
        <v>76</v>
      </c>
      <c r="E9" s="84">
        <f>IF(B9=0,"",IF(C9&gt;9999,"",ROUND('General Variables'!$B$2*VLOOKUP(B9,Operations[],10,FALSE)/VLOOKUP(B9,Operations[],9,FALSE)*C9,2)))</f>
        <v>2.1800000000000002</v>
      </c>
      <c r="F9" s="84">
        <f>IF(B9=0,0,IF(C9&gt;9999,"",ROUND(IF(VLOOKUP(B9,Operations[],12,FALSE)=0,VLOOKUP(B9,Operations[],13,FALSE)*'General Variables'!$B$6,VLOOKUP(B9,Operations[],12,FALSE)*'General Variables'!$B$5)/VLOOKUP(B9,Operations[],9,FALSE)*C9,2)))</f>
        <v>1.64</v>
      </c>
      <c r="G9" s="84">
        <f>IF(B9=0,0,IF(C9&gt;9999,"",ROUND(VLOOKUP(VLOOKUP(B9,Operations[],11,FALSE),PowerUnits[],10,FALSE)/VLOOKUP(B9,Operations[],9,FALSE)*C9,2)))</f>
        <v>0.41</v>
      </c>
      <c r="H9" s="84">
        <f>IF(B9=0,"",IF(C9&gt;9999,"",ROUND(VLOOKUP($B9,Operations[],15,FALSE)*C9,2)))</f>
        <v>2.15</v>
      </c>
      <c r="I9" s="84">
        <f>IF(B9=0,0,IF(C9&gt;9999,"",ROUND(VLOOKUP(VLOOKUP(B9,Operations[],11,FALSE),PowerUnits[],16,FALSE)/VLOOKUP(B9,Operations[],9,FALSE)*C9,2)))</f>
        <v>2.2599999999999998</v>
      </c>
      <c r="J9" s="84">
        <f>IF(B9=0,"",IF(C9&gt;9999,"",ROUND(VLOOKUP($B9,Operations[],21,FALSE)*$C9,2)))</f>
        <v>2.52</v>
      </c>
      <c r="K9" s="84">
        <f t="shared" ref="K9:K10" si="1">IF(C9&gt;9999,"",ROUND(SUM(E9:J9),2))</f>
        <v>11.16</v>
      </c>
      <c r="L9" s="95"/>
    </row>
    <row r="10" spans="1:15">
      <c r="A10" s="94">
        <v>4</v>
      </c>
      <c r="B10" s="255" t="s">
        <v>332</v>
      </c>
      <c r="C10" s="133">
        <f>A3</f>
        <v>2.2000000000000002</v>
      </c>
      <c r="D10" s="256" t="s">
        <v>76</v>
      </c>
      <c r="E10" s="84">
        <f>IF(B10=0,"",IF(C10&gt;9999,"",ROUND('General Variables'!$B$2*VLOOKUP(B10,Operations[],10,FALSE)/VLOOKUP(B10,Operations[],9,FALSE)*C10,2)))</f>
        <v>2.4</v>
      </c>
      <c r="F10" s="84">
        <f>IF(B10=0,0,IF(C10&gt;9999,"",ROUND(IF(VLOOKUP(B10,Operations[],12,FALSE)=0,VLOOKUP(B10,Operations[],13,FALSE)*'General Variables'!$B$6,VLOOKUP(B10,Operations[],12,FALSE)*'General Variables'!$B$5)/VLOOKUP(B10,Operations[],9,FALSE)*C10,2)))</f>
        <v>2.4900000000000002</v>
      </c>
      <c r="G10" s="84">
        <f>IF(B10=0,0,IF(C10&gt;9999,"",ROUND(VLOOKUP(VLOOKUP(B10,Operations[],11,FALSE),PowerUnits[],10,FALSE)/VLOOKUP(B10,Operations[],9,FALSE)*C10,2)))</f>
        <v>0.45</v>
      </c>
      <c r="H10" s="84">
        <f>IF(B10=0,"",IF(C10&gt;9999,"",ROUND(VLOOKUP($B10,Operations[],15,FALSE)*C10,2)))</f>
        <v>0</v>
      </c>
      <c r="I10" s="84">
        <f>IF(B10=0,0,IF(C10&gt;9999,"",ROUND(VLOOKUP(VLOOKUP(B10,Operations[],11,FALSE),PowerUnits[],16,FALSE)/VLOOKUP(B10,Operations[],9,FALSE)*C10,2)))</f>
        <v>2.48</v>
      </c>
      <c r="J10" s="84">
        <f>IF(B10=0,"",IF(C10&gt;9999,"",ROUND(VLOOKUP($B10,Operations[],21,FALSE)*$C10,2)))</f>
        <v>0.97</v>
      </c>
      <c r="K10" s="84">
        <f t="shared" si="1"/>
        <v>8.7899999999999991</v>
      </c>
      <c r="L10" s="95"/>
    </row>
    <row r="11" spans="1:15" hidden="1">
      <c r="A11" s="94">
        <v>5</v>
      </c>
      <c r="B11" s="254"/>
      <c r="C11" s="133"/>
      <c r="D11" s="256"/>
      <c r="E11" s="84" t="str">
        <f>IF(B11=0,"",IF(C11&gt;9999,"",ROUND('General Variables'!$B$2*VLOOKUP(B11,Operations[],10,FALSE)/VLOOKUP(B11,Operations[],9,FALSE)*C11,2)))</f>
        <v/>
      </c>
      <c r="F11" s="84">
        <f>IF(B11=0,0,IF(C11&gt;9999,"",ROUND(IF(VLOOKUP(B11,Operations[],12,FALSE)=0,VLOOKUP(B11,Operations[],13,FALSE)*'General Variables'!$B$6,VLOOKUP(B11,Operations[],12,FALSE)*'General Variables'!$B$5)/VLOOKUP(B11,Operations[],9,FALSE)*C11,2)))</f>
        <v>0</v>
      </c>
      <c r="G11" s="84">
        <f>IF(B11=0,0,IF(C11&gt;9999,"",ROUND(VLOOKUP(VLOOKUP(B11,Operations[],11,FALSE),PowerUnits[],10,FALSE)/VLOOKUP(B11,Operations[],9,FALSE)*C11,2)))</f>
        <v>0</v>
      </c>
      <c r="H11" s="84" t="str">
        <f>IF(B11=0,"",IF(C11&gt;9999,"",ROUND(VLOOKUP($B11,Operations[],15,FALSE)*C11,2)))</f>
        <v/>
      </c>
      <c r="I11" s="84">
        <f>IF(B11=0,0,IF(C11&gt;9999,"",ROUND(VLOOKUP(VLOOKUP(B11,Operations[],11,FALSE),PowerUnits[],16,FALSE)/VLOOKUP(B11,Operations[],9,FALSE)*C11,2)))</f>
        <v>0</v>
      </c>
      <c r="J11" s="84" t="str">
        <f>IF(B11=0,"",IF(C11&gt;9999,"",ROUND(VLOOKUP($B11,Operations[],21,FALSE)*$C11,2)))</f>
        <v/>
      </c>
      <c r="K11" s="84">
        <f t="shared" si="0"/>
        <v>0</v>
      </c>
      <c r="L11" s="95"/>
    </row>
    <row r="12" spans="1:15" hidden="1">
      <c r="A12" s="94">
        <v>6</v>
      </c>
      <c r="B12" s="254"/>
      <c r="C12" s="133"/>
      <c r="D12" s="256"/>
      <c r="E12" s="84" t="str">
        <f>IF(B12=0,"",IF(C12&gt;9999,"",ROUND('General Variables'!$B$2*VLOOKUP(B12,Operations[],10,FALSE)/VLOOKUP(B12,Operations[],9,FALSE)*C12,2)))</f>
        <v/>
      </c>
      <c r="F12" s="84">
        <f>IF(B12=0,0,IF(C12&gt;9999,"",ROUND(IF(VLOOKUP(B12,Operations[],12,FALSE)=0,VLOOKUP(B12,Operations[],13,FALSE)*'General Variables'!$B$6,VLOOKUP(B12,Operations[],12,FALSE)*'General Variables'!$B$5)/VLOOKUP(B12,Operations[],9,FALSE)*C12,2)))</f>
        <v>0</v>
      </c>
      <c r="G12" s="84">
        <f>IF(B12=0,0,IF(C12&gt;9999,"",ROUND(VLOOKUP(VLOOKUP(B12,Operations[],11,FALSE),PowerUnits[],10,FALSE)/VLOOKUP(B12,Operations[],9,FALSE)*C12,2)))</f>
        <v>0</v>
      </c>
      <c r="H12" s="84" t="str">
        <f>IF(B12=0,"",IF(C12&gt;9999,"",ROUND(VLOOKUP($B12,Operations[],15,FALSE)*C12,2)))</f>
        <v/>
      </c>
      <c r="I12" s="84">
        <f>IF(B12=0,0,IF(C12&gt;9999,"",ROUND(VLOOKUP(VLOOKUP(B12,Operations[],11,FALSE),PowerUnits[],16,FALSE)/VLOOKUP(B12,Operations[],9,FALSE)*C12,2)))</f>
        <v>0</v>
      </c>
      <c r="J12" s="84" t="str">
        <f>IF(B12=0,"",IF(C12&gt;9999,"",ROUND(VLOOKUP($B12,Operations[],21,FALSE)*$C12,2)))</f>
        <v/>
      </c>
      <c r="K12" s="84">
        <f t="shared" si="0"/>
        <v>0</v>
      </c>
      <c r="L12" s="95"/>
    </row>
    <row r="13" spans="1:15" hidden="1">
      <c r="A13" s="94">
        <v>7</v>
      </c>
      <c r="B13" s="254"/>
      <c r="C13" s="133"/>
      <c r="D13" s="256"/>
      <c r="E13" s="84" t="str">
        <f>IF(B13=0,"",IF(C13&gt;9999,"",ROUND('General Variables'!$B$2*VLOOKUP(B13,Operations[],10,FALSE)/VLOOKUP(B13,Operations[],9,FALSE)*C13,2)))</f>
        <v/>
      </c>
      <c r="F13" s="84">
        <f>IF(B13=0,0,IF(C13&gt;9999,"",ROUND(IF(VLOOKUP(B13,Operations[],12,FALSE)=0,VLOOKUP(B13,Operations[],13,FALSE)*'General Variables'!$B$6,VLOOKUP(B13,Operations[],12,FALSE)*'General Variables'!$B$5)/VLOOKUP(B13,Operations[],9,FALSE)*C13,2)))</f>
        <v>0</v>
      </c>
      <c r="G13" s="84">
        <f>IF(B13=0,0,IF(C13&gt;9999,"",ROUND(VLOOKUP(VLOOKUP(B13,Operations[],11,FALSE),PowerUnits[],10,FALSE)/VLOOKUP(B13,Operations[],9,FALSE)*C13,2)))</f>
        <v>0</v>
      </c>
      <c r="H13" s="84" t="str">
        <f>IF(B13=0,"",IF(C13&gt;9999,"",ROUND(VLOOKUP($B13,Operations[],15,FALSE)*C13,2)))</f>
        <v/>
      </c>
      <c r="I13" s="84">
        <f>IF(B13=0,0,IF(C13&gt;9999,"",ROUND(VLOOKUP(VLOOKUP(B13,Operations[],11,FALSE),PowerUnits[],16,FALSE)/VLOOKUP(B13,Operations[],9,FALSE)*C13,2)))</f>
        <v>0</v>
      </c>
      <c r="J13" s="84" t="str">
        <f>IF(B13=0,"",IF(C13&gt;9999,"",ROUND(VLOOKUP($B13,Operations[],21,FALSE)*$C13,2)))</f>
        <v/>
      </c>
      <c r="K13" s="84">
        <f t="shared" si="0"/>
        <v>0</v>
      </c>
      <c r="L13" s="95"/>
    </row>
    <row r="14" spans="1:15" hidden="1">
      <c r="A14" s="94">
        <v>8</v>
      </c>
      <c r="B14" s="254"/>
      <c r="C14" s="133"/>
      <c r="D14" s="256"/>
      <c r="E14" s="84" t="str">
        <f>IF(B14=0,"",IF(C14&gt;9999,"",ROUND('General Variables'!$B$2*VLOOKUP(B14,Operations[],10,FALSE)/VLOOKUP(B14,Operations[],9,FALSE)*C14,2)))</f>
        <v/>
      </c>
      <c r="F14" s="84">
        <f>IF(B14=0,0,IF(C14&gt;9999,"",ROUND(IF(VLOOKUP(B14,Operations[],12,FALSE)=0,VLOOKUP(B14,Operations[],13,FALSE)*'General Variables'!$B$6,VLOOKUP(B14,Operations[],12,FALSE)*'General Variables'!$B$5)/VLOOKUP(B14,Operations[],9,FALSE)*C14,2)))</f>
        <v>0</v>
      </c>
      <c r="G14" s="84">
        <f>IF(B14=0,0,IF(C14&gt;9999,"",ROUND(VLOOKUP(VLOOKUP(B14,Operations[],11,FALSE),PowerUnits[],10,FALSE)/VLOOKUP(B14,Operations[],9,FALSE)*C14,2)))</f>
        <v>0</v>
      </c>
      <c r="H14" s="84" t="str">
        <f>IF(B14=0,"",IF(C14&gt;9999,"",ROUND(VLOOKUP($B14,Operations[],15,FALSE)*C14,2)))</f>
        <v/>
      </c>
      <c r="I14" s="84">
        <f>IF(B14=0,0,IF(C14&gt;9999,"",ROUND(VLOOKUP(VLOOKUP(B14,Operations[],11,FALSE),PowerUnits[],16,FALSE)/VLOOKUP(B14,Operations[],9,FALSE)*C14,2)))</f>
        <v>0</v>
      </c>
      <c r="J14" s="84" t="str">
        <f>IF(B14=0,"",IF(C14&gt;9999,"",ROUND(VLOOKUP($B14,Operations[],21,FALSE)*$C14,2)))</f>
        <v/>
      </c>
      <c r="K14" s="84">
        <f t="shared" si="0"/>
        <v>0</v>
      </c>
      <c r="L14" s="95"/>
    </row>
    <row r="15" spans="1:15" hidden="1">
      <c r="A15" s="94">
        <v>9</v>
      </c>
      <c r="B15" s="254"/>
      <c r="C15" s="133"/>
      <c r="D15" s="257"/>
      <c r="E15" s="84" t="str">
        <f>IF(B15=0,"",IF(C15&gt;9999,"",ROUND('General Variables'!$B$2*VLOOKUP(B15,Operations[],10,FALSE)/VLOOKUP(B15,Operations[],9,FALSE)*C15,2)))</f>
        <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t="str">
        <f>IF(B15=0,"",IF(C15&gt;9999,"",ROUND(VLOOKUP($B15,Operations[],15,FALSE)*C15,2)))</f>
        <v/>
      </c>
      <c r="I15" s="84">
        <f>IF(B15=0,0,IF(C15&gt;9999,"",ROUND(VLOOKUP(VLOOKUP(B15,Operations[],11,FALSE),PowerUnits[],16,FALSE)/VLOOKUP(B15,Operations[],9,FALSE)*C15,2)))</f>
        <v>0</v>
      </c>
      <c r="J15" s="84" t="str">
        <f>IF(B15=0,"",IF(C15&gt;9999,"",ROUND(VLOOKUP($B15,Operations[],21,FALSE)*$C15,2)))</f>
        <v/>
      </c>
      <c r="K15" s="84">
        <f t="shared" si="0"/>
        <v>0</v>
      </c>
      <c r="L15" s="95"/>
    </row>
    <row r="16" spans="1:15" hidden="1">
      <c r="A16" s="94">
        <v>10</v>
      </c>
      <c r="B16" s="254"/>
      <c r="C16" s="133"/>
      <c r="D16" s="257"/>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5"/>
    </row>
    <row r="17" spans="1:12" hidden="1">
      <c r="A17" s="94">
        <v>11</v>
      </c>
      <c r="B17" s="254"/>
      <c r="C17" s="133"/>
      <c r="D17" s="257"/>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5"/>
    </row>
    <row r="18" spans="1:12" hidden="1">
      <c r="A18" s="94">
        <v>12</v>
      </c>
      <c r="B18" s="254"/>
      <c r="C18" s="133"/>
      <c r="D18" s="257"/>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5"/>
    </row>
    <row r="19" spans="1:12" hidden="1">
      <c r="A19" s="94">
        <v>13</v>
      </c>
      <c r="B19" s="254"/>
      <c r="C19" s="133"/>
      <c r="D19" s="257"/>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5"/>
    </row>
    <row r="20" spans="1:12" hidden="1">
      <c r="A20" s="94">
        <v>14</v>
      </c>
      <c r="B20" s="255"/>
      <c r="C20" s="134"/>
      <c r="D20" s="257"/>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5"/>
    </row>
    <row r="21" spans="1:12" hidden="1">
      <c r="A21" s="94">
        <v>15</v>
      </c>
      <c r="B21" s="255"/>
      <c r="C21" s="134"/>
      <c r="D21" s="257"/>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5"/>
    </row>
    <row r="22" spans="1:12" hidden="1">
      <c r="A22" s="94">
        <v>16</v>
      </c>
      <c r="B22" s="255"/>
      <c r="C22" s="134"/>
      <c r="D22" s="257"/>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5"/>
    </row>
    <row r="23" spans="1:12" hidden="1">
      <c r="A23" s="94">
        <v>17</v>
      </c>
      <c r="B23" s="255"/>
      <c r="C23" s="134"/>
      <c r="D23" s="257"/>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5"/>
    </row>
    <row r="24" spans="1:12" hidden="1">
      <c r="A24" s="94">
        <v>18</v>
      </c>
      <c r="B24" s="255"/>
      <c r="C24" s="134"/>
      <c r="D24" s="257"/>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5"/>
    </row>
    <row r="25" spans="1:12" hidden="1">
      <c r="A25" s="94">
        <v>19</v>
      </c>
      <c r="B25" s="255"/>
      <c r="C25" s="134"/>
      <c r="D25" s="257"/>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6"/>
    </row>
    <row r="26" spans="1:12" hidden="1">
      <c r="A26" s="94">
        <v>20</v>
      </c>
      <c r="B26" s="255"/>
      <c r="C26" s="134"/>
      <c r="D26" s="257"/>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7"/>
    </row>
    <row r="27" spans="1:12" ht="3" customHeight="1" thickBot="1">
      <c r="A27" s="94"/>
      <c r="B27" s="97"/>
      <c r="C27" s="98"/>
      <c r="D27" s="98"/>
      <c r="E27" s="86"/>
      <c r="F27" s="86"/>
      <c r="G27" s="86"/>
      <c r="H27" s="86"/>
      <c r="I27" s="86"/>
      <c r="J27" s="86"/>
      <c r="K27" s="86"/>
      <c r="L27" s="99"/>
    </row>
    <row r="28" spans="1:12" ht="13.5" thickTop="1">
      <c r="C28" s="100" t="s">
        <v>95</v>
      </c>
      <c r="D28" s="100"/>
      <c r="E28" s="83">
        <f>SUM(E7:E26)</f>
        <v>7.01</v>
      </c>
      <c r="F28" s="83">
        <f t="shared" ref="F28:K28" si="2">SUM(F7:F26)</f>
        <v>7.32</v>
      </c>
      <c r="G28" s="83">
        <f t="shared" si="2"/>
        <v>3.1900000000000004</v>
      </c>
      <c r="H28" s="83">
        <f t="shared" si="2"/>
        <v>2.15</v>
      </c>
      <c r="I28" s="83">
        <f t="shared" si="2"/>
        <v>7.3699999999999992</v>
      </c>
      <c r="J28" s="83">
        <f t="shared" si="2"/>
        <v>3.49</v>
      </c>
      <c r="K28" s="83">
        <f t="shared" si="2"/>
        <v>30.53</v>
      </c>
      <c r="L28" s="95"/>
    </row>
    <row r="30" spans="1:12" ht="24" customHeight="1" thickBot="1">
      <c r="B30" s="87"/>
      <c r="C30" s="87"/>
      <c r="D30" s="87"/>
      <c r="E30" s="87"/>
      <c r="F30" s="263" t="s">
        <v>109</v>
      </c>
      <c r="G30" s="263" t="s">
        <v>106</v>
      </c>
      <c r="H30" s="262" t="s">
        <v>110</v>
      </c>
      <c r="I30" s="262"/>
      <c r="J30" s="263" t="s">
        <v>81</v>
      </c>
      <c r="L30" s="262" t="s">
        <v>438</v>
      </c>
    </row>
    <row r="31" spans="1:12" s="101" customFormat="1" ht="14.25" thickTop="1" thickBot="1">
      <c r="B31" s="102" t="s">
        <v>105</v>
      </c>
      <c r="C31" s="92"/>
      <c r="D31" s="92"/>
      <c r="E31" s="92"/>
      <c r="F31" s="263"/>
      <c r="G31" s="263"/>
      <c r="H31" s="92" t="s">
        <v>111</v>
      </c>
      <c r="I31" s="92" t="s">
        <v>89</v>
      </c>
      <c r="J31" s="263"/>
      <c r="K31" s="92" t="s">
        <v>107</v>
      </c>
      <c r="L31" s="263"/>
    </row>
    <row r="32" spans="1:12" ht="13.5" thickTop="1">
      <c r="A32" s="1"/>
      <c r="B32" s="255" t="s">
        <v>15</v>
      </c>
      <c r="C32" s="266" t="str">
        <f>IF(B32=0,"",VLOOKUP($B32,Materials[],2,FALSE))</f>
        <v>Fertilizer</v>
      </c>
      <c r="D32" s="266"/>
      <c r="E32" s="266"/>
      <c r="F32" s="134">
        <v>1</v>
      </c>
      <c r="G32" s="140">
        <v>1</v>
      </c>
      <c r="H32" s="139">
        <v>40</v>
      </c>
      <c r="I32" s="103" t="str">
        <f>IF($B32=0,"",VLOOKUP($B32,Materials[],5,FALSE))</f>
        <v>lbs N</v>
      </c>
      <c r="J32" s="104">
        <f>IF($B32=0,"",VLOOKUP($B32,Materials[],7,FALSE))</f>
        <v>0.6</v>
      </c>
      <c r="K32" s="83">
        <f>IF(B32=0,0,ROUND(G32*H32*J32,2))</f>
        <v>24</v>
      </c>
      <c r="L32" s="95"/>
    </row>
    <row r="33" spans="1:12">
      <c r="A33" s="1"/>
      <c r="B33" s="255" t="s">
        <v>9</v>
      </c>
      <c r="C33" s="266" t="str">
        <f>IF(B33=0,"",VLOOKUP($B33,Materials[],2,FALSE))</f>
        <v>Fertilizer</v>
      </c>
      <c r="D33" s="266"/>
      <c r="E33" s="266"/>
      <c r="F33" s="134">
        <v>1</v>
      </c>
      <c r="G33" s="140">
        <v>1</v>
      </c>
      <c r="H33" s="139">
        <v>15</v>
      </c>
      <c r="I33" s="103" t="str">
        <f>IF($B33=0,"",VLOOKUP($B33,Materials[],5,FALSE))</f>
        <v>pound</v>
      </c>
      <c r="J33" s="104">
        <f>IF($B33=0,"",VLOOKUP($B33,Materials[],7,FALSE))</f>
        <v>0.38</v>
      </c>
      <c r="K33" s="83">
        <f t="shared" ref="K33:K51" si="3">IF(B33=0,0,ROUND(G33*H33*J33,2))</f>
        <v>5.7</v>
      </c>
      <c r="L33" s="95"/>
    </row>
    <row r="34" spans="1:12">
      <c r="A34" s="1"/>
      <c r="B34" s="255" t="s">
        <v>70</v>
      </c>
      <c r="C34" s="266" t="str">
        <f>IF(B34=0,"",VLOOKUP($B34,Materials[],2,FALSE))</f>
        <v>Other</v>
      </c>
      <c r="D34" s="266"/>
      <c r="E34" s="266"/>
      <c r="F34" s="134">
        <v>3</v>
      </c>
      <c r="G34" s="140">
        <v>1</v>
      </c>
      <c r="H34" s="139">
        <f>A3</f>
        <v>2.2000000000000002</v>
      </c>
      <c r="I34" s="103" t="str">
        <f>IF($B34=0,"",VLOOKUP($B34,Materials[],5,FALSE))</f>
        <v>ton</v>
      </c>
      <c r="J34" s="104">
        <f>IF($B34=0,"",VLOOKUP($B34,Materials[],7,FALSE))</f>
        <v>0.98879367172050103</v>
      </c>
      <c r="K34" s="83">
        <f t="shared" si="3"/>
        <v>2.1800000000000002</v>
      </c>
      <c r="L34" s="95"/>
    </row>
    <row r="35" spans="1:12" hidden="1">
      <c r="A35" s="1"/>
      <c r="B35" s="254"/>
      <c r="C35" s="266" t="str">
        <f>IF(B35=0,"",VLOOKUP($B35,Materials[],2,FALSE))</f>
        <v/>
      </c>
      <c r="D35" s="266"/>
      <c r="E35" s="266"/>
      <c r="F35" s="133"/>
      <c r="G35" s="136"/>
      <c r="H35" s="137"/>
      <c r="I35" s="103" t="str">
        <f>IF($B35=0,"",VLOOKUP($B35,Materials[],5,FALSE))</f>
        <v/>
      </c>
      <c r="J35" s="104" t="str">
        <f>IF($B35=0,"",VLOOKUP($B35,Materials[],7,FALSE))</f>
        <v/>
      </c>
      <c r="K35" s="83">
        <f t="shared" si="3"/>
        <v>0</v>
      </c>
      <c r="L35" s="95"/>
    </row>
    <row r="36" spans="1:12" hidden="1">
      <c r="A36" s="1"/>
      <c r="B36" s="254"/>
      <c r="C36" s="266" t="str">
        <f>IF(B36=0,"",VLOOKUP($B36,Materials[],2,FALSE))</f>
        <v/>
      </c>
      <c r="D36" s="266"/>
      <c r="E36" s="266"/>
      <c r="F36" s="133"/>
      <c r="G36" s="136"/>
      <c r="H36" s="138"/>
      <c r="I36" s="103" t="str">
        <f>IF($B36=0,"",VLOOKUP($B36,Materials[],5,FALSE))</f>
        <v/>
      </c>
      <c r="J36" s="104" t="str">
        <f>IF($B36=0,"",VLOOKUP($B36,Materials[],7,FALSE))</f>
        <v/>
      </c>
      <c r="K36" s="83">
        <f t="shared" si="3"/>
        <v>0</v>
      </c>
      <c r="L36" s="95"/>
    </row>
    <row r="37" spans="1:12" hidden="1">
      <c r="A37" s="1"/>
      <c r="B37" s="254"/>
      <c r="C37" s="266" t="str">
        <f>IF(B37=0,"",VLOOKUP($B37,Materials[],2,FALSE))</f>
        <v/>
      </c>
      <c r="D37" s="266"/>
      <c r="E37" s="266"/>
      <c r="F37" s="133"/>
      <c r="G37" s="136"/>
      <c r="H37" s="138"/>
      <c r="I37" s="103" t="str">
        <f>IF($B37=0,"",VLOOKUP($B37,Materials[],5,FALSE))</f>
        <v/>
      </c>
      <c r="J37" s="104" t="str">
        <f>IF($B37=0,"",VLOOKUP($B37,Materials[],7,FALSE))</f>
        <v/>
      </c>
      <c r="K37" s="83">
        <f t="shared" si="3"/>
        <v>0</v>
      </c>
      <c r="L37" s="95"/>
    </row>
    <row r="38" spans="1:12" hidden="1">
      <c r="A38" s="124"/>
      <c r="B38" s="254"/>
      <c r="C38" s="266" t="str">
        <f>IF(B38=0,"",VLOOKUP($B38,Materials[],2,FALSE))</f>
        <v/>
      </c>
      <c r="D38" s="266"/>
      <c r="E38" s="266"/>
      <c r="F38" s="133"/>
      <c r="G38" s="136"/>
      <c r="H38" s="137"/>
      <c r="I38" s="103" t="str">
        <f>IF($B38=0,"",VLOOKUP($B38,Materials[],5,FALSE))</f>
        <v/>
      </c>
      <c r="J38" s="104" t="str">
        <f>IF($B38=0,"",VLOOKUP($B38,Materials[],7,FALSE))</f>
        <v/>
      </c>
      <c r="K38" s="83">
        <f t="shared" si="3"/>
        <v>0</v>
      </c>
      <c r="L38" s="95"/>
    </row>
    <row r="39" spans="1:12" hidden="1">
      <c r="A39" s="124"/>
      <c r="B39" s="254"/>
      <c r="C39" s="266" t="str">
        <f>IF(B39=0,"",VLOOKUP($B39,Materials[],2,FALSE))</f>
        <v/>
      </c>
      <c r="D39" s="266"/>
      <c r="E39" s="266"/>
      <c r="F39" s="133"/>
      <c r="G39" s="136"/>
      <c r="H39" s="137"/>
      <c r="I39" s="103" t="str">
        <f>IF($B39=0,"",VLOOKUP($B39,Materials[],5,FALSE))</f>
        <v/>
      </c>
      <c r="J39" s="104" t="str">
        <f>IF($B39=0,"",VLOOKUP($B39,Materials[],7,FALSE))</f>
        <v/>
      </c>
      <c r="K39" s="83">
        <f t="shared" si="3"/>
        <v>0</v>
      </c>
      <c r="L39" s="95"/>
    </row>
    <row r="40" spans="1:12" hidden="1">
      <c r="A40" s="124"/>
      <c r="B40" s="254"/>
      <c r="C40" s="266" t="str">
        <f>IF(B40=0,"",VLOOKUP($B40,Materials[],2,FALSE))</f>
        <v/>
      </c>
      <c r="D40" s="266"/>
      <c r="E40" s="266"/>
      <c r="F40" s="133"/>
      <c r="G40" s="136"/>
      <c r="H40" s="137"/>
      <c r="I40" s="103" t="str">
        <f>IF($B40=0,"",VLOOKUP($B40,Materials[],5,FALSE))</f>
        <v/>
      </c>
      <c r="J40" s="104" t="str">
        <f>IF($B40=0,"",VLOOKUP($B40,Materials[],7,FALSE))</f>
        <v/>
      </c>
      <c r="K40" s="83">
        <f t="shared" si="3"/>
        <v>0</v>
      </c>
      <c r="L40" s="95"/>
    </row>
    <row r="41" spans="1:12" hidden="1">
      <c r="A41" s="124"/>
      <c r="B41" s="254"/>
      <c r="C41" s="266" t="str">
        <f>IF(B41=0,"",VLOOKUP($B41,Materials[],2,FALSE))</f>
        <v/>
      </c>
      <c r="D41" s="266"/>
      <c r="E41" s="266"/>
      <c r="F41" s="133"/>
      <c r="G41" s="136"/>
      <c r="H41" s="137"/>
      <c r="I41" s="103" t="str">
        <f>IF($B41=0,"",VLOOKUP($B41,Materials[],5,FALSE))</f>
        <v/>
      </c>
      <c r="J41" s="104" t="str">
        <f>IF($B41=0,"",VLOOKUP($B41,Materials[],7,FALSE))</f>
        <v/>
      </c>
      <c r="K41" s="83">
        <f t="shared" si="3"/>
        <v>0</v>
      </c>
      <c r="L41" s="95"/>
    </row>
    <row r="42" spans="1:12" hidden="1">
      <c r="A42" s="124"/>
      <c r="B42" s="254"/>
      <c r="C42" s="266" t="str">
        <f>IF(B42=0,"",VLOOKUP($B42,Materials[],2,FALSE))</f>
        <v/>
      </c>
      <c r="D42" s="266"/>
      <c r="E42" s="266"/>
      <c r="F42" s="133"/>
      <c r="G42" s="136"/>
      <c r="H42" s="137"/>
      <c r="I42" s="103" t="str">
        <f>IF($B42=0,"",VLOOKUP($B42,Materials[],5,FALSE))</f>
        <v/>
      </c>
      <c r="J42" s="104" t="str">
        <f>IF($B42=0,"",VLOOKUP($B42,Materials[],7,FALSE))</f>
        <v/>
      </c>
      <c r="K42" s="83">
        <f t="shared" si="3"/>
        <v>0</v>
      </c>
      <c r="L42" s="95"/>
    </row>
    <row r="43" spans="1:12" hidden="1">
      <c r="A43" s="1"/>
      <c r="B43" s="254"/>
      <c r="C43" s="266" t="str">
        <f>IF(B43=0,"",VLOOKUP($B43,Materials[],2,FALSE))</f>
        <v/>
      </c>
      <c r="D43" s="266"/>
      <c r="E43" s="266"/>
      <c r="F43" s="133"/>
      <c r="G43" s="136"/>
      <c r="H43" s="137"/>
      <c r="I43" s="103" t="str">
        <f>IF($B43=0,"",VLOOKUP($B43,Materials[],5,FALSE))</f>
        <v/>
      </c>
      <c r="J43" s="104" t="str">
        <f>IF($B43=0,"",VLOOKUP($B43,Materials[],7,FALSE))</f>
        <v/>
      </c>
      <c r="K43" s="83">
        <f t="shared" si="3"/>
        <v>0</v>
      </c>
      <c r="L43" s="95"/>
    </row>
    <row r="44" spans="1:12" hidden="1">
      <c r="A44" s="1"/>
      <c r="B44" s="254"/>
      <c r="C44" s="266" t="str">
        <f>IF(B44=0,"",VLOOKUP($B44,Materials[],2,FALSE))</f>
        <v/>
      </c>
      <c r="D44" s="266"/>
      <c r="E44" s="266"/>
      <c r="F44" s="133"/>
      <c r="G44" s="136"/>
      <c r="H44" s="137"/>
      <c r="I44" s="103" t="str">
        <f>IF($B44=0,"",VLOOKUP($B44,Materials[],5,FALSE))</f>
        <v/>
      </c>
      <c r="J44" s="104" t="str">
        <f>IF($B44=0,"",VLOOKUP($B44,Materials[],7,FALSE))</f>
        <v/>
      </c>
      <c r="K44" s="83">
        <f t="shared" si="3"/>
        <v>0</v>
      </c>
      <c r="L44" s="95"/>
    </row>
    <row r="45" spans="1:12" hidden="1">
      <c r="B45" s="255"/>
      <c r="C45" s="266" t="str">
        <f>IF(B45=0,"",VLOOKUP($B45,Materials[],2,FALSE))</f>
        <v/>
      </c>
      <c r="D45" s="266"/>
      <c r="E45" s="266"/>
      <c r="F45" s="134"/>
      <c r="G45" s="136"/>
      <c r="H45" s="139"/>
      <c r="I45" s="103" t="str">
        <f>IF($B45=0,"",VLOOKUP($B45,Materials[],5,FALSE))</f>
        <v/>
      </c>
      <c r="J45" s="104" t="str">
        <f>IF($B45=0,"",VLOOKUP($B45,Materials[],7,FALSE))</f>
        <v/>
      </c>
      <c r="K45" s="83">
        <f t="shared" si="3"/>
        <v>0</v>
      </c>
      <c r="L45" s="95"/>
    </row>
    <row r="46" spans="1:12" hidden="1">
      <c r="B46" s="255"/>
      <c r="C46" s="266" t="str">
        <f>IF(B46=0,"",VLOOKUP($B46,Materials[],2,FALSE))</f>
        <v/>
      </c>
      <c r="D46" s="266"/>
      <c r="E46" s="266"/>
      <c r="F46" s="134"/>
      <c r="G46" s="136"/>
      <c r="H46" s="139"/>
      <c r="I46" s="103" t="str">
        <f>IF($B46=0,"",VLOOKUP($B46,Materials[],5,FALSE))</f>
        <v/>
      </c>
      <c r="J46" s="104" t="str">
        <f>IF($B46=0,"",VLOOKUP($B46,Materials[],7,FALSE))</f>
        <v/>
      </c>
      <c r="K46" s="83">
        <f t="shared" si="3"/>
        <v>0</v>
      </c>
      <c r="L46" s="95"/>
    </row>
    <row r="47" spans="1:12" hidden="1">
      <c r="B47" s="255"/>
      <c r="C47" s="266" t="str">
        <f>IF(B47=0,"",VLOOKUP($B47,Materials[],2,FALSE))</f>
        <v/>
      </c>
      <c r="D47" s="266"/>
      <c r="E47" s="266"/>
      <c r="F47" s="134"/>
      <c r="G47" s="140"/>
      <c r="H47" s="139"/>
      <c r="I47" s="103" t="str">
        <f>IF($B47=0,"",VLOOKUP($B47,Materials[],5,FALSE))</f>
        <v/>
      </c>
      <c r="J47" s="104" t="str">
        <f>IF($B47=0,"",VLOOKUP($B47,Materials[],7,FALSE))</f>
        <v/>
      </c>
      <c r="K47" s="83">
        <f t="shared" si="3"/>
        <v>0</v>
      </c>
      <c r="L47" s="95"/>
    </row>
    <row r="48" spans="1:12" hidden="1">
      <c r="B48" s="255"/>
      <c r="C48" s="266" t="str">
        <f>IF(B48=0,"",VLOOKUP($B48,Materials[],2,FALSE))</f>
        <v/>
      </c>
      <c r="D48" s="266"/>
      <c r="E48" s="266"/>
      <c r="F48" s="134"/>
      <c r="G48" s="140"/>
      <c r="H48" s="139"/>
      <c r="I48" s="103" t="str">
        <f>IF($B48=0,"",VLOOKUP($B48,Materials[],5,FALSE))</f>
        <v/>
      </c>
      <c r="J48" s="104" t="str">
        <f>IF($B48=0,"",VLOOKUP($B48,Materials[],7,FALSE))</f>
        <v/>
      </c>
      <c r="K48" s="83">
        <f t="shared" si="3"/>
        <v>0</v>
      </c>
      <c r="L48" s="95"/>
    </row>
    <row r="49" spans="2:12" hidden="1">
      <c r="B49" s="255"/>
      <c r="C49" s="266" t="str">
        <f>IF(B49=0,"",VLOOKUP($B49,Materials[],2,FALSE))</f>
        <v/>
      </c>
      <c r="D49" s="266"/>
      <c r="E49" s="266"/>
      <c r="F49" s="134"/>
      <c r="G49" s="140"/>
      <c r="H49" s="139"/>
      <c r="I49" s="103" t="str">
        <f>IF($B49=0,"",VLOOKUP($B49,Materials[],5,FALSE))</f>
        <v/>
      </c>
      <c r="J49" s="104" t="str">
        <f>IF($B49=0,"",VLOOKUP($B49,Materials[],7,FALSE))</f>
        <v/>
      </c>
      <c r="K49" s="83">
        <f t="shared" si="3"/>
        <v>0</v>
      </c>
      <c r="L49" s="95"/>
    </row>
    <row r="50" spans="2:12" hidden="1">
      <c r="B50" s="255"/>
      <c r="C50" s="266" t="str">
        <f>IF(B50=0,"",VLOOKUP($B50,Materials[],2,FALSE))</f>
        <v/>
      </c>
      <c r="D50" s="266"/>
      <c r="E50" s="266"/>
      <c r="F50" s="134"/>
      <c r="G50" s="140"/>
      <c r="H50" s="139"/>
      <c r="I50" s="103" t="str">
        <f>IF($B50=0,"",VLOOKUP($B50,Materials[],5,FALSE))</f>
        <v/>
      </c>
      <c r="J50" s="104" t="str">
        <f>IF($B50=0,"",VLOOKUP($B50,Materials[],7,FALSE))</f>
        <v/>
      </c>
      <c r="K50" s="83">
        <f t="shared" si="3"/>
        <v>0</v>
      </c>
      <c r="L50" s="96"/>
    </row>
    <row r="51" spans="2:12" hidden="1">
      <c r="B51" s="255"/>
      <c r="C51" s="266" t="str">
        <f>IF(B51=0,"",VLOOKUP($B51,Materials[],2,FALSE))</f>
        <v/>
      </c>
      <c r="D51" s="266"/>
      <c r="E51" s="266"/>
      <c r="F51" s="134"/>
      <c r="G51" s="140"/>
      <c r="H51" s="139"/>
      <c r="I51" s="103" t="str">
        <f>IF($B51=0,"",VLOOKUP($B51,Materials[],5,FALSE))</f>
        <v/>
      </c>
      <c r="J51" s="104" t="str">
        <f>IF($B51=0,"",VLOOKUP($B51,Materials[],7,FALSE))</f>
        <v/>
      </c>
      <c r="K51" s="84">
        <f t="shared" si="3"/>
        <v>0</v>
      </c>
      <c r="L51" s="96"/>
    </row>
    <row r="52" spans="2:12" ht="3.75" customHeight="1" thickBot="1">
      <c r="B52" s="97"/>
      <c r="C52" s="105"/>
      <c r="D52" s="105"/>
      <c r="E52" s="105"/>
      <c r="F52" s="98"/>
      <c r="G52" s="106"/>
      <c r="H52" s="107"/>
      <c r="I52" s="108"/>
      <c r="J52" s="109"/>
      <c r="K52" s="86"/>
      <c r="L52" s="99"/>
    </row>
    <row r="53" spans="2:12" ht="13.5" thickTop="1">
      <c r="C53" s="100" t="s">
        <v>108</v>
      </c>
      <c r="D53" s="100"/>
      <c r="J53" s="83"/>
      <c r="K53" s="83">
        <f>SUM(K32:K51)</f>
        <v>31.88</v>
      </c>
      <c r="L53" s="95"/>
    </row>
    <row r="54" spans="2:12">
      <c r="B54" s="125"/>
    </row>
    <row r="55" spans="2:12">
      <c r="B55" s="90" t="s">
        <v>112</v>
      </c>
      <c r="K55" s="83">
        <f>K28+K53</f>
        <v>62.41</v>
      </c>
      <c r="L55" s="95"/>
    </row>
    <row r="56" spans="2:12" ht="13.5" thickBot="1">
      <c r="D56" s="110" t="s">
        <v>439</v>
      </c>
      <c r="E56" s="111">
        <f>SUM($E$28:$H$28)+$K$53</f>
        <v>51.55</v>
      </c>
      <c r="F56" s="268" t="s">
        <v>440</v>
      </c>
      <c r="G56" s="268"/>
      <c r="H56" s="112">
        <f>'General Variables'!$B$9</f>
        <v>0.08</v>
      </c>
      <c r="I56" s="113" t="str">
        <f>CONCATENATE("for ",TEXT('General Variables'!$B$10,"0.0")," mo.")</f>
        <v>for 6.0 mo.</v>
      </c>
      <c r="K56" s="114">
        <f>ROUND(E56*H56*'General Variables'!$B$10/12,2)</f>
        <v>2.06</v>
      </c>
      <c r="L56" s="115"/>
    </row>
    <row r="57" spans="2:12" ht="13.5" thickTop="1">
      <c r="B57" s="90" t="s">
        <v>444</v>
      </c>
      <c r="K57" s="83">
        <f>SUM(K55:K56)</f>
        <v>64.47</v>
      </c>
      <c r="L57" s="95"/>
    </row>
    <row r="59" spans="2:12">
      <c r="B59" s="116" t="s">
        <v>487</v>
      </c>
      <c r="C59" s="117"/>
      <c r="D59" s="117"/>
      <c r="E59" s="117"/>
      <c r="F59" s="117"/>
      <c r="G59" s="117"/>
      <c r="H59" s="117"/>
      <c r="I59" s="117"/>
      <c r="J59" s="117"/>
      <c r="K59" s="118">
        <f>'General Variables'!B12</f>
        <v>5</v>
      </c>
      <c r="L59" s="95"/>
    </row>
    <row r="60" spans="2:12">
      <c r="B60" s="39" t="s">
        <v>447</v>
      </c>
      <c r="C60" s="269" t="s">
        <v>449</v>
      </c>
      <c r="D60" s="270"/>
      <c r="E60" s="271"/>
      <c r="F60" s="119">
        <f>IF(C60=0,0,VLOOKUP(C60,RETable,2,FALSE))</f>
        <v>1850</v>
      </c>
      <c r="G60" s="268" t="s">
        <v>448</v>
      </c>
      <c r="H60" s="268"/>
      <c r="I60" s="112">
        <f>'General Variables'!$B$8</f>
        <v>0.04</v>
      </c>
      <c r="K60" s="120">
        <f>ROUND(F60*I60,2)</f>
        <v>74</v>
      </c>
      <c r="L60" s="95"/>
    </row>
    <row r="61" spans="2:12" ht="13.5" thickBot="1">
      <c r="B61" s="39" t="s">
        <v>458</v>
      </c>
      <c r="F61" s="121">
        <f>IF(C60=0,0,VLOOKUP(C60,RETable,2,FALSE))</f>
        <v>1850</v>
      </c>
      <c r="G61" s="267" t="s">
        <v>448</v>
      </c>
      <c r="H61" s="267"/>
      <c r="I61" s="122">
        <f>'General Variables'!$B$11</f>
        <v>0.01</v>
      </c>
      <c r="J61" s="1"/>
      <c r="K61" s="123">
        <f>ROUND(F61*I61,2)</f>
        <v>18.5</v>
      </c>
      <c r="L61" s="115"/>
    </row>
    <row r="62" spans="2:12" ht="13.5" thickTop="1">
      <c r="B62" s="90" t="s">
        <v>472</v>
      </c>
      <c r="K62" s="83">
        <f>SUM(K57:K61)</f>
        <v>161.97</v>
      </c>
      <c r="L62" s="95"/>
    </row>
    <row r="64" spans="2:12">
      <c r="B64" s="90" t="str">
        <f>"Cost per "&amp;$B$3</f>
        <v>Cost per ton</v>
      </c>
      <c r="K64" s="83">
        <f>IF(A3="Yield",0,K62/$A$3)</f>
        <v>73.622727272727261</v>
      </c>
      <c r="L64" s="95"/>
    </row>
    <row r="65" spans="2:12">
      <c r="B65" s="55" t="str">
        <f>"Cash Cost per "&amp;$B$3</f>
        <v>Cash Cost per ton</v>
      </c>
      <c r="C65" s="1"/>
      <c r="D65" s="1"/>
      <c r="E65" s="1"/>
      <c r="F65" s="1"/>
      <c r="G65" s="1"/>
      <c r="H65" s="1"/>
      <c r="I65" s="1"/>
      <c r="J65" s="1"/>
      <c r="K65" s="24">
        <f>IF($A$3="Yield",0,(E56+K56+K61)/$A$3)</f>
        <v>32.777272727272724</v>
      </c>
      <c r="L65" s="126"/>
    </row>
    <row r="75" spans="2:12">
      <c r="B75" s="88"/>
      <c r="C75" s="88"/>
      <c r="D75" s="88"/>
    </row>
    <row r="76" spans="2:12">
      <c r="B76" s="88"/>
      <c r="C76" s="88"/>
      <c r="D76" s="88"/>
    </row>
    <row r="77" spans="2:12">
      <c r="B77" s="88"/>
      <c r="C77" s="88"/>
      <c r="D77" s="88"/>
    </row>
    <row r="78" spans="2:12">
      <c r="B78" s="88"/>
      <c r="C78" s="88"/>
      <c r="D78" s="88"/>
    </row>
    <row r="79" spans="2:12">
      <c r="B79" s="88"/>
      <c r="C79" s="88"/>
      <c r="D79" s="88"/>
    </row>
    <row r="80" spans="2:12">
      <c r="B80" s="88"/>
      <c r="C80" s="88"/>
      <c r="D80" s="88"/>
    </row>
    <row r="81" spans="2:4">
      <c r="B81" s="88"/>
      <c r="C81" s="88"/>
      <c r="D81" s="88"/>
    </row>
    <row r="82" spans="2:4">
      <c r="B82" s="88"/>
      <c r="C82" s="88"/>
      <c r="D82" s="88"/>
    </row>
    <row r="83" spans="2:4">
      <c r="B83" s="88"/>
      <c r="C83" s="88"/>
      <c r="D83" s="88"/>
    </row>
    <row r="84" spans="2:4">
      <c r="B84" s="88"/>
      <c r="C84" s="88"/>
      <c r="D84" s="88"/>
    </row>
    <row r="85" spans="2:4">
      <c r="B85" s="88"/>
      <c r="C85" s="88"/>
      <c r="D85" s="88"/>
    </row>
    <row r="86" spans="2:4">
      <c r="B86" s="88"/>
      <c r="C86" s="88"/>
      <c r="D86" s="88"/>
    </row>
    <row r="87" spans="2:4">
      <c r="B87" s="88"/>
      <c r="C87" s="88"/>
      <c r="D87" s="88"/>
    </row>
    <row r="88" spans="2:4">
      <c r="B88" s="88"/>
      <c r="C88" s="88"/>
      <c r="D88" s="88"/>
    </row>
    <row r="89" spans="2:4">
      <c r="B89" s="88"/>
      <c r="C89" s="88"/>
      <c r="D89" s="88"/>
    </row>
    <row r="90" spans="2:4">
      <c r="B90" s="88"/>
      <c r="C90" s="88"/>
      <c r="D90" s="88"/>
    </row>
    <row r="91" spans="2:4">
      <c r="B91" s="88"/>
      <c r="C91" s="88"/>
      <c r="D91" s="88"/>
    </row>
    <row r="92" spans="2:4">
      <c r="B92" s="88"/>
      <c r="C92" s="88"/>
      <c r="D92" s="88"/>
    </row>
    <row r="93" spans="2:4">
      <c r="B93" s="88"/>
      <c r="C93" s="88"/>
      <c r="D93" s="88"/>
    </row>
    <row r="94" spans="2:4">
      <c r="B94" s="88"/>
      <c r="C94" s="88"/>
      <c r="D94" s="88"/>
    </row>
    <row r="95" spans="2:4">
      <c r="B95" s="88"/>
      <c r="C95" s="88"/>
      <c r="D95" s="88"/>
    </row>
    <row r="96" spans="2:4">
      <c r="B96" s="88"/>
      <c r="C96" s="88"/>
      <c r="D96" s="88"/>
    </row>
    <row r="97" spans="2:6">
      <c r="B97" s="88"/>
      <c r="C97" s="88"/>
      <c r="D97" s="88"/>
    </row>
    <row r="98" spans="2:6">
      <c r="B98" s="88"/>
      <c r="C98" s="88"/>
      <c r="D98" s="88"/>
    </row>
    <row r="99" spans="2:6">
      <c r="B99" s="88"/>
      <c r="C99" s="88"/>
      <c r="D99" s="88"/>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7" t="s">
        <v>537</v>
      </c>
      <c r="B1" s="89"/>
      <c r="C1" s="87"/>
      <c r="D1" s="87"/>
      <c r="E1" s="89"/>
      <c r="F1" s="87"/>
      <c r="G1" s="87"/>
      <c r="H1" s="129" t="s">
        <v>114</v>
      </c>
      <c r="I1" s="89"/>
      <c r="J1" s="90"/>
      <c r="K1" s="100" t="str">
        <f>'General Variables'!A1&amp;" "&amp;'General Variables'!B1</f>
        <v>Year 2011</v>
      </c>
      <c r="O1" s="88" t="s">
        <v>528</v>
      </c>
    </row>
    <row r="2" spans="1:15">
      <c r="A2" s="127" t="s">
        <v>119</v>
      </c>
      <c r="B2" s="89"/>
      <c r="C2" s="87"/>
      <c r="D2" s="87"/>
      <c r="E2" s="89"/>
      <c r="F2" s="87"/>
      <c r="G2" s="87"/>
      <c r="H2" s="132" t="s">
        <v>431</v>
      </c>
      <c r="I2" s="252" t="str">
        <f>IF(H2="","","acre-inches")</f>
        <v/>
      </c>
      <c r="J2" s="90"/>
      <c r="K2" s="90"/>
      <c r="O2" s="88" t="s">
        <v>527</v>
      </c>
    </row>
    <row r="3" spans="1:15">
      <c r="A3" s="127">
        <v>85</v>
      </c>
      <c r="B3" s="127" t="s">
        <v>489</v>
      </c>
      <c r="C3" s="87"/>
      <c r="D3" s="87"/>
      <c r="E3" s="89"/>
      <c r="F3" s="89"/>
      <c r="G3" s="89"/>
      <c r="H3" s="89"/>
      <c r="I3" s="89"/>
      <c r="J3" s="90"/>
      <c r="K3" s="90"/>
      <c r="O3" s="88" t="str">
        <f>B3</f>
        <v>bushel</v>
      </c>
    </row>
    <row r="5" spans="1:15" s="90" customFormat="1" ht="22.5" customHeight="1">
      <c r="B5" s="260" t="s">
        <v>92</v>
      </c>
      <c r="C5" s="262" t="s">
        <v>1</v>
      </c>
      <c r="D5" s="91"/>
      <c r="E5" s="262" t="str">
        <f>"Labor @ $" &amp;TEXT('General Variables'!B2,"#.00")&amp; " /Hr"</f>
        <v>Labor @ $12.00 /Hr</v>
      </c>
      <c r="F5" s="262" t="str">
        <f>"Fuel @ $" &amp; TEXT('General Variables'!B3,"#.00") &amp; " and Lube"</f>
        <v>Fuel @ $3.00 and Lube</v>
      </c>
      <c r="G5" s="264" t="s">
        <v>93</v>
      </c>
      <c r="H5" s="264"/>
      <c r="I5" s="264" t="s">
        <v>416</v>
      </c>
      <c r="J5" s="264"/>
      <c r="K5" s="264" t="s">
        <v>2</v>
      </c>
      <c r="L5" s="262" t="s">
        <v>438</v>
      </c>
    </row>
    <row r="6" spans="1:15" s="90" customFormat="1" ht="17.25" customHeight="1" thickBot="1">
      <c r="B6" s="261"/>
      <c r="C6" s="263"/>
      <c r="D6" s="92" t="s">
        <v>89</v>
      </c>
      <c r="E6" s="263"/>
      <c r="F6" s="263"/>
      <c r="G6" s="93" t="s">
        <v>94</v>
      </c>
      <c r="H6" s="93" t="s">
        <v>96</v>
      </c>
      <c r="I6" s="93" t="s">
        <v>94</v>
      </c>
      <c r="J6" s="93" t="s">
        <v>96</v>
      </c>
      <c r="K6" s="265"/>
      <c r="L6" s="263"/>
    </row>
    <row r="7" spans="1:15" ht="13.5" thickTop="1">
      <c r="A7" s="94">
        <v>1</v>
      </c>
      <c r="B7" s="255" t="s">
        <v>348</v>
      </c>
      <c r="C7" s="134">
        <v>1</v>
      </c>
      <c r="D7" s="256"/>
      <c r="E7" s="84">
        <f>IF(B7=0,"",IF(C7&gt;9999,"",ROUND('General Variables'!$B$2*VLOOKUP(B7,Operations[],10,FALSE)/VLOOKUP(B7,Operations[],9,FALSE)*C7,2)))</f>
        <v>0.98</v>
      </c>
      <c r="F7" s="84">
        <f>IF(B7=0,0,IF(C7&gt;9999,"",ROUND(IF(VLOOKUP(B7,Operations[],12,FALSE)=0,VLOOKUP(B7,Operations[],13,FALSE)*'General Variables'!$B$6,VLOOKUP(B7,Operations[],12,FALSE)*'General Variables'!$B$5)/VLOOKUP(B7,Operations[],9,FALSE)*C7,2)))</f>
        <v>0.43</v>
      </c>
      <c r="G7" s="84">
        <f>IF(B7=0,0,IF(C7&gt;9999,"",ROUND(VLOOKUP(VLOOKUP(B7,Operations[],11,FALSE),PowerUnits[],10,FALSE)/VLOOKUP(B7,Operations[],9,FALSE)*C7,2)))</f>
        <v>0.1</v>
      </c>
      <c r="H7" s="84">
        <f>IF(B7=0,"",IF(C7&gt;9999,"",ROUND(VLOOKUP($B7,Operations[],15,FALSE)*C7,2)))</f>
        <v>0.28999999999999998</v>
      </c>
      <c r="I7" s="84">
        <f>IF(B7=0,0,IF(C7&gt;9999,"",ROUND(VLOOKUP(VLOOKUP(B7,Operations[],11,FALSE),PowerUnits[],16,FALSE)/VLOOKUP(B7,Operations[],9,FALSE)*C7,2)))</f>
        <v>2.25</v>
      </c>
      <c r="J7" s="84">
        <f>IF(B7=0,"",IF(C7&gt;9999,"",ROUND(VLOOKUP($B7,Operations[],21,FALSE)*$C7,2)))</f>
        <v>1.26</v>
      </c>
      <c r="K7" s="84">
        <f>IF(C7&gt;9999,"",ROUND(SUM(E7:J7),2))</f>
        <v>5.31</v>
      </c>
      <c r="L7" s="95"/>
    </row>
    <row r="8" spans="1:15">
      <c r="A8" s="94">
        <v>2</v>
      </c>
      <c r="B8" s="255" t="s">
        <v>333</v>
      </c>
      <c r="C8" s="134">
        <v>1</v>
      </c>
      <c r="D8" s="256"/>
      <c r="E8" s="84">
        <f>IF(B8=0,"",IF(C8&gt;9999,"",ROUND('General Variables'!$B$2*VLOOKUP(B8,Operations[],10,FALSE)/VLOOKUP(B8,Operations[],9,FALSE)*C8,2)))</f>
        <v>1.93</v>
      </c>
      <c r="F8" s="84">
        <f>IF(B8=0,0,IF(C8&gt;9999,"",ROUND(IF(VLOOKUP(B8,Operations[],12,FALSE)=0,VLOOKUP(B8,Operations[],13,FALSE)*'General Variables'!$B$6,VLOOKUP(B8,Operations[],12,FALSE)*'General Variables'!$B$5)/VLOOKUP(B8,Operations[],9,FALSE)*C8,2)))</f>
        <v>3.06</v>
      </c>
      <c r="G8" s="84">
        <f>IF(B8=0,0,IF(C8&gt;9999,"",ROUND(VLOOKUP(VLOOKUP(B8,Operations[],11,FALSE),PowerUnits[],10,FALSE)/VLOOKUP(B8,Operations[],9,FALSE)*C8,2)))</f>
        <v>0.2</v>
      </c>
      <c r="H8" s="84">
        <f>IF(B8=0,"",IF(C8&gt;9999,"",ROUND(VLOOKUP($B8,Operations[],15,FALSE)*C8,2)))</f>
        <v>3.09</v>
      </c>
      <c r="I8" s="84">
        <f>IF(B8=0,0,IF(C8&gt;9999,"",ROUND(VLOOKUP(VLOOKUP(B8,Operations[],11,FALSE),PowerUnits[],16,FALSE)/VLOOKUP(B8,Operations[],9,FALSE)*C8,2)))</f>
        <v>4.4400000000000004</v>
      </c>
      <c r="J8" s="84">
        <f>IF(B8=0,"",IF(C8&gt;9999,"",ROUND(VLOOKUP($B8,Operations[],21,FALSE)*$C8,2)))</f>
        <v>2.14</v>
      </c>
      <c r="K8" s="84">
        <f t="shared" ref="K8:K26" si="0">IF(C8&gt;9999,"",ROUND(SUM(E8:J8),2))</f>
        <v>14.86</v>
      </c>
      <c r="L8" s="95"/>
    </row>
    <row r="9" spans="1:15">
      <c r="A9" s="94">
        <v>3</v>
      </c>
      <c r="B9" s="255" t="s">
        <v>66</v>
      </c>
      <c r="C9" s="134">
        <v>1</v>
      </c>
      <c r="D9" s="256"/>
      <c r="E9" s="84">
        <f>IF(B9=0,"",IF(C9&gt;9999,"",ROUND('General Variables'!$B$2*VLOOKUP(B9,Operations[],10,FALSE)/VLOOKUP(B9,Operations[],9,FALSE)*C9,2)))</f>
        <v>0.6</v>
      </c>
      <c r="F9" s="84">
        <f>IF(B9=0,0,IF(C9&gt;9999,"",ROUND(IF(VLOOKUP(B9,Operations[],12,FALSE)=0,VLOOKUP(B9,Operations[],13,FALSE)*'General Variables'!$B$6,VLOOKUP(B9,Operations[],12,FALSE)*'General Variables'!$B$5)/VLOOKUP(B9,Operations[],9,FALSE)*C9,2)))</f>
        <v>0.41</v>
      </c>
      <c r="G9" s="84">
        <f>IF(B9=0,0,IF(C9&gt;9999,"",ROUND(VLOOKUP(VLOOKUP(B9,Operations[],11,FALSE),PowerUnits[],10,FALSE)/VLOOKUP(B9,Operations[],9,FALSE)*C9,2)))</f>
        <v>0.11</v>
      </c>
      <c r="H9" s="84">
        <f>IF(B9=0,"",IF(C9&gt;9999,"",ROUND(VLOOKUP($B9,Operations[],15,FALSE)*C9,2)))</f>
        <v>0.21</v>
      </c>
      <c r="I9" s="84">
        <f>IF(B9=0,0,IF(C9&gt;9999,"",ROUND(VLOOKUP(VLOOKUP(B9,Operations[],11,FALSE),PowerUnits[],16,FALSE)/VLOOKUP(B9,Operations[],9,FALSE)*C9,2)))</f>
        <v>0.62</v>
      </c>
      <c r="J9" s="84">
        <f>IF(B9=0,"",IF(C9&gt;9999,"",ROUND(VLOOKUP($B9,Operations[],21,FALSE)*$C9,2)))</f>
        <v>0.25</v>
      </c>
      <c r="K9" s="84">
        <f t="shared" si="0"/>
        <v>2.2000000000000002</v>
      </c>
      <c r="L9" s="95"/>
    </row>
    <row r="10" spans="1:15">
      <c r="A10" s="94">
        <v>4</v>
      </c>
      <c r="B10" s="255" t="s">
        <v>314</v>
      </c>
      <c r="C10" s="134">
        <v>1</v>
      </c>
      <c r="D10" s="256"/>
      <c r="E10" s="84">
        <f>IF(B10=0,"",IF(C10&gt;9999,"",ROUND('General Variables'!$B$2*VLOOKUP(B10,Operations[],10,FALSE)/VLOOKUP(B10,Operations[],9,FALSE)*C10,2)))</f>
        <v>1.89</v>
      </c>
      <c r="F10" s="84">
        <f>IF(B10=0,0,IF(C10&gt;9999,"",ROUND(IF(VLOOKUP(B10,Operations[],12,FALSE)=0,VLOOKUP(B10,Operations[],13,FALSE)*'General Variables'!$B$6,VLOOKUP(B10,Operations[],12,FALSE)*'General Variables'!$B$5)/VLOOKUP(B10,Operations[],9,FALSE)*C10,2)))</f>
        <v>5.16</v>
      </c>
      <c r="G10" s="84">
        <f>IF(B10=0,0,IF(C10&gt;9999,"",ROUND(VLOOKUP(VLOOKUP(B10,Operations[],11,FALSE),PowerUnits[],10,FALSE)/VLOOKUP(B10,Operations[],9,FALSE)*C10,2)))</f>
        <v>2.67</v>
      </c>
      <c r="H10" s="84">
        <f>IF(B10=0,"",IF(C10&gt;9999,"",ROUND(VLOOKUP($B10,Operations[],15,FALSE)*C10,2)))</f>
        <v>0.74</v>
      </c>
      <c r="I10" s="84">
        <f>IF(B10=0,0,IF(C10&gt;9999,"",ROUND(VLOOKUP(VLOOKUP(B10,Operations[],11,FALSE),PowerUnits[],16,FALSE)/VLOOKUP(B10,Operations[],9,FALSE)*C10,2)))</f>
        <v>10.42</v>
      </c>
      <c r="J10" s="84">
        <f>IF(B10=0,"",IF(C10&gt;9999,"",ROUND(VLOOKUP($B10,Operations[],21,FALSE)*$C10,2)))</f>
        <v>2.25</v>
      </c>
      <c r="K10" s="84">
        <f t="shared" si="0"/>
        <v>23.13</v>
      </c>
      <c r="L10" s="95"/>
    </row>
    <row r="11" spans="1:15">
      <c r="A11" s="94">
        <v>5</v>
      </c>
      <c r="B11" s="255" t="s">
        <v>356</v>
      </c>
      <c r="C11" s="134" t="s">
        <v>3</v>
      </c>
      <c r="D11" s="256"/>
      <c r="E11" s="84" t="str">
        <f>IF(B11=0,"",IF(C11&gt;9999,"",ROUND('General Variables'!$B$2*VLOOKUP(B11,Operations[],10,FALSE)/VLOOKUP(B11,Operations[],9,FALSE)*C11,2)))</f>
        <v/>
      </c>
      <c r="F11" s="84" t="str">
        <f>IF(B11=0,0,IF(C11&gt;9999,"",ROUND(IF(VLOOKUP(B11,Operations[],12,FALSE)=0,VLOOKUP(B11,Operations[],13,FALSE)*'General Variables'!$B$6,VLOOKUP(B11,Operations[],12,FALSE)*'General Variables'!$B$5)/VLOOKUP(B11,Operations[],9,FALSE)*C11,2)))</f>
        <v/>
      </c>
      <c r="G11" s="84" t="str">
        <f>IF(B11=0,0,IF(C11&gt;9999,"",ROUND(VLOOKUP(VLOOKUP(B11,Operations[],11,FALSE),PowerUnits[],10,FALSE)/VLOOKUP(B11,Operations[],9,FALSE)*C11,2)))</f>
        <v/>
      </c>
      <c r="H11" s="84" t="str">
        <f>IF(B11=0,"",IF(C11&gt;9999,"",ROUND(VLOOKUP($B11,Operations[],15,FALSE)*C11,2)))</f>
        <v/>
      </c>
      <c r="I11" s="84" t="str">
        <f>IF(B11=0,0,IF(C11&gt;9999,"",ROUND(VLOOKUP(VLOOKUP(B11,Operations[],11,FALSE),PowerUnits[],16,FALSE)/VLOOKUP(B11,Operations[],9,FALSE)*C11,2)))</f>
        <v/>
      </c>
      <c r="J11" s="84" t="str">
        <f>IF(B11=0,"",IF(C11&gt;9999,"",ROUND(VLOOKUP($B11,Operations[],21,FALSE)*$C11,2)))</f>
        <v/>
      </c>
      <c r="K11" s="84" t="str">
        <f t="shared" si="0"/>
        <v/>
      </c>
      <c r="L11" s="95"/>
    </row>
    <row r="12" spans="1:15" hidden="1">
      <c r="A12" s="94">
        <v>6</v>
      </c>
      <c r="B12" s="255"/>
      <c r="C12" s="133"/>
      <c r="D12" s="256"/>
      <c r="E12" s="84" t="str">
        <f>IF(B12=0,"",IF(C12&gt;9999,"",ROUND('General Variables'!$B$2*VLOOKUP(B12,Operations[],10,FALSE)/VLOOKUP(B12,Operations[],9,FALSE)*C12,2)))</f>
        <v/>
      </c>
      <c r="F12" s="84">
        <f>IF(B12=0,0,IF(C12&gt;9999,"",ROUND(IF(VLOOKUP(B12,Operations[],12,FALSE)=0,VLOOKUP(B12,Operations[],13,FALSE)*'General Variables'!$B$6,VLOOKUP(B12,Operations[],12,FALSE)*'General Variables'!$B$5)/VLOOKUP(B12,Operations[],9,FALSE)*C12,2)))</f>
        <v>0</v>
      </c>
      <c r="G12" s="84">
        <f>IF(B12=0,0,IF(C12&gt;9999,"",ROUND(VLOOKUP(VLOOKUP(B12,Operations[],11,FALSE),PowerUnits[],10,FALSE)/VLOOKUP(B12,Operations[],9,FALSE)*C12,2)))</f>
        <v>0</v>
      </c>
      <c r="H12" s="84" t="str">
        <f>IF(B12=0,"",IF(C12&gt;9999,"",ROUND(VLOOKUP($B12,Operations[],15,FALSE)*C12,2)))</f>
        <v/>
      </c>
      <c r="I12" s="84">
        <f>IF(B12=0,0,IF(C12&gt;9999,"",ROUND(VLOOKUP(VLOOKUP(B12,Operations[],11,FALSE),PowerUnits[],16,FALSE)/VLOOKUP(B12,Operations[],9,FALSE)*C12,2)))</f>
        <v>0</v>
      </c>
      <c r="J12" s="84" t="str">
        <f>IF(B12=0,"",IF(C12&gt;9999,"",ROUND(VLOOKUP($B12,Operations[],21,FALSE)*$C12,2)))</f>
        <v/>
      </c>
      <c r="K12" s="84">
        <f t="shared" ref="K12:K13" si="1">IF(C12&gt;9999,"",ROUND(SUM(E12:J12),2))</f>
        <v>0</v>
      </c>
      <c r="L12" s="95"/>
    </row>
    <row r="13" spans="1:15" hidden="1">
      <c r="A13" s="94">
        <v>7</v>
      </c>
      <c r="B13" s="255"/>
      <c r="C13" s="133"/>
      <c r="D13" s="256"/>
      <c r="E13" s="84" t="str">
        <f>IF(B13=0,"",IF(C13&gt;9999,"",ROUND('General Variables'!$B$2*VLOOKUP(B13,Operations[],10,FALSE)/VLOOKUP(B13,Operations[],9,FALSE)*C13,2)))</f>
        <v/>
      </c>
      <c r="F13" s="84">
        <f>IF(B13=0,0,IF(C13&gt;9999,"",ROUND(IF(VLOOKUP(B13,Operations[],12,FALSE)=0,VLOOKUP(B13,Operations[],13,FALSE)*'General Variables'!$B$6,VLOOKUP(B13,Operations[],12,FALSE)*'General Variables'!$B$5)/VLOOKUP(B13,Operations[],9,FALSE)*C13,2)))</f>
        <v>0</v>
      </c>
      <c r="G13" s="84">
        <f>IF(B13=0,0,IF(C13&gt;9999,"",ROUND(VLOOKUP(VLOOKUP(B13,Operations[],11,FALSE),PowerUnits[],10,FALSE)/VLOOKUP(B13,Operations[],9,FALSE)*C13,2)))</f>
        <v>0</v>
      </c>
      <c r="H13" s="84" t="str">
        <f>IF(B13=0,"",IF(C13&gt;9999,"",ROUND(VLOOKUP($B13,Operations[],15,FALSE)*C13,2)))</f>
        <v/>
      </c>
      <c r="I13" s="84">
        <f>IF(B13=0,0,IF(C13&gt;9999,"",ROUND(VLOOKUP(VLOOKUP(B13,Operations[],11,FALSE),PowerUnits[],16,FALSE)/VLOOKUP(B13,Operations[],9,FALSE)*C13,2)))</f>
        <v>0</v>
      </c>
      <c r="J13" s="84" t="str">
        <f>IF(B13=0,"",IF(C13&gt;9999,"",ROUND(VLOOKUP($B13,Operations[],21,FALSE)*$C13,2)))</f>
        <v/>
      </c>
      <c r="K13" s="84">
        <f t="shared" si="1"/>
        <v>0</v>
      </c>
      <c r="L13" s="95"/>
    </row>
    <row r="14" spans="1:15" hidden="1">
      <c r="A14" s="94">
        <v>8</v>
      </c>
      <c r="B14" s="254"/>
      <c r="C14" s="133"/>
      <c r="D14" s="256"/>
      <c r="E14" s="84" t="str">
        <f>IF(B14=0,"",IF(C14&gt;9999,"",ROUND('General Variables'!$B$2*VLOOKUP(B14,Operations[],10,FALSE)/VLOOKUP(B14,Operations[],9,FALSE)*C14,2)))</f>
        <v/>
      </c>
      <c r="F14" s="84">
        <f>IF(B14=0,0,IF(C14&gt;9999,"",ROUND(IF(VLOOKUP(B14,Operations[],12,FALSE)=0,VLOOKUP(B14,Operations[],13,FALSE)*'General Variables'!$B$6,VLOOKUP(B14,Operations[],12,FALSE)*'General Variables'!$B$5)/VLOOKUP(B14,Operations[],9,FALSE)*C14,2)))</f>
        <v>0</v>
      </c>
      <c r="G14" s="84">
        <f>IF(B14=0,0,IF(C14&gt;9999,"",ROUND(VLOOKUP(VLOOKUP(B14,Operations[],11,FALSE),PowerUnits[],10,FALSE)/VLOOKUP(B14,Operations[],9,FALSE)*C14,2)))</f>
        <v>0</v>
      </c>
      <c r="H14" s="84" t="str">
        <f>IF(B14=0,"",IF(C14&gt;9999,"",ROUND(VLOOKUP($B14,Operations[],15,FALSE)*C14,2)))</f>
        <v/>
      </c>
      <c r="I14" s="84">
        <f>IF(B14=0,0,IF(C14&gt;9999,"",ROUND(VLOOKUP(VLOOKUP(B14,Operations[],11,FALSE),PowerUnits[],16,FALSE)/VLOOKUP(B14,Operations[],9,FALSE)*C14,2)))</f>
        <v>0</v>
      </c>
      <c r="J14" s="84" t="str">
        <f>IF(B14=0,"",IF(C14&gt;9999,"",ROUND(VLOOKUP($B14,Operations[],21,FALSE)*$C14,2)))</f>
        <v/>
      </c>
      <c r="K14" s="84">
        <f t="shared" si="0"/>
        <v>0</v>
      </c>
      <c r="L14" s="95"/>
    </row>
    <row r="15" spans="1:15" hidden="1">
      <c r="A15" s="94">
        <v>9</v>
      </c>
      <c r="B15" s="254"/>
      <c r="C15" s="133"/>
      <c r="D15" s="257"/>
      <c r="E15" s="84" t="str">
        <f>IF(B15=0,"",IF(C15&gt;9999,"",ROUND('General Variables'!$B$2*VLOOKUP(B15,Operations[],10,FALSE)/VLOOKUP(B15,Operations[],9,FALSE)*C15,2)))</f>
        <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t="str">
        <f>IF(B15=0,"",IF(C15&gt;9999,"",ROUND(VLOOKUP($B15,Operations[],15,FALSE)*C15,2)))</f>
        <v/>
      </c>
      <c r="I15" s="84">
        <f>IF(B15=0,0,IF(C15&gt;9999,"",ROUND(VLOOKUP(VLOOKUP(B15,Operations[],11,FALSE),PowerUnits[],16,FALSE)/VLOOKUP(B15,Operations[],9,FALSE)*C15,2)))</f>
        <v>0</v>
      </c>
      <c r="J15" s="84" t="str">
        <f>IF(B15=0,"",IF(C15&gt;9999,"",ROUND(VLOOKUP($B15,Operations[],21,FALSE)*$C15,2)))</f>
        <v/>
      </c>
      <c r="K15" s="84">
        <f t="shared" si="0"/>
        <v>0</v>
      </c>
      <c r="L15" s="95"/>
    </row>
    <row r="16" spans="1:15" hidden="1">
      <c r="A16" s="94">
        <v>10</v>
      </c>
      <c r="B16" s="254"/>
      <c r="C16" s="133"/>
      <c r="D16" s="257"/>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5"/>
    </row>
    <row r="17" spans="1:12" hidden="1">
      <c r="A17" s="94">
        <v>11</v>
      </c>
      <c r="B17" s="254"/>
      <c r="C17" s="133"/>
      <c r="D17" s="257"/>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5"/>
    </row>
    <row r="18" spans="1:12" hidden="1">
      <c r="A18" s="94">
        <v>12</v>
      </c>
      <c r="B18" s="254"/>
      <c r="C18" s="133"/>
      <c r="D18" s="257"/>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5"/>
    </row>
    <row r="19" spans="1:12" hidden="1">
      <c r="A19" s="94">
        <v>13</v>
      </c>
      <c r="B19" s="254"/>
      <c r="C19" s="133"/>
      <c r="D19" s="257"/>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5"/>
    </row>
    <row r="20" spans="1:12" hidden="1">
      <c r="A20" s="94">
        <v>14</v>
      </c>
      <c r="B20" s="255"/>
      <c r="C20" s="134"/>
      <c r="D20" s="257"/>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5"/>
    </row>
    <row r="21" spans="1:12" hidden="1">
      <c r="A21" s="94">
        <v>15</v>
      </c>
      <c r="B21" s="255"/>
      <c r="C21" s="134"/>
      <c r="D21" s="257"/>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5"/>
    </row>
    <row r="22" spans="1:12" hidden="1">
      <c r="A22" s="94">
        <v>16</v>
      </c>
      <c r="B22" s="255"/>
      <c r="C22" s="134"/>
      <c r="D22" s="257"/>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5"/>
    </row>
    <row r="23" spans="1:12" hidden="1">
      <c r="A23" s="94">
        <v>17</v>
      </c>
      <c r="B23" s="255"/>
      <c r="C23" s="134"/>
      <c r="D23" s="257"/>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5"/>
    </row>
    <row r="24" spans="1:12" hidden="1">
      <c r="A24" s="94">
        <v>18</v>
      </c>
      <c r="B24" s="255"/>
      <c r="C24" s="134"/>
      <c r="D24" s="257"/>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5"/>
    </row>
    <row r="25" spans="1:12" hidden="1">
      <c r="A25" s="94">
        <v>19</v>
      </c>
      <c r="B25" s="255"/>
      <c r="C25" s="134"/>
      <c r="D25" s="257"/>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6"/>
    </row>
    <row r="26" spans="1:12" hidden="1">
      <c r="A26" s="94">
        <v>20</v>
      </c>
      <c r="B26" s="255"/>
      <c r="C26" s="134"/>
      <c r="D26" s="257"/>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7"/>
    </row>
    <row r="27" spans="1:12" ht="3" customHeight="1" thickBot="1">
      <c r="A27" s="94"/>
      <c r="B27" s="97"/>
      <c r="C27" s="98"/>
      <c r="D27" s="98"/>
      <c r="E27" s="86"/>
      <c r="F27" s="86"/>
      <c r="G27" s="86"/>
      <c r="H27" s="86"/>
      <c r="I27" s="86"/>
      <c r="J27" s="86"/>
      <c r="K27" s="86"/>
      <c r="L27" s="99"/>
    </row>
    <row r="28" spans="1:12" ht="13.5" thickTop="1">
      <c r="C28" s="100" t="s">
        <v>95</v>
      </c>
      <c r="D28" s="100"/>
      <c r="E28" s="83">
        <f>SUM(E7:E26)</f>
        <v>5.4</v>
      </c>
      <c r="F28" s="83">
        <f t="shared" ref="F28:K28" si="2">SUM(F7:F26)</f>
        <v>9.06</v>
      </c>
      <c r="G28" s="83">
        <f t="shared" si="2"/>
        <v>3.08</v>
      </c>
      <c r="H28" s="83">
        <f t="shared" si="2"/>
        <v>4.33</v>
      </c>
      <c r="I28" s="83">
        <f t="shared" si="2"/>
        <v>17.73</v>
      </c>
      <c r="J28" s="83">
        <f t="shared" si="2"/>
        <v>5.9</v>
      </c>
      <c r="K28" s="83">
        <f t="shared" si="2"/>
        <v>45.5</v>
      </c>
      <c r="L28" s="95"/>
    </row>
    <row r="30" spans="1:12" ht="24" customHeight="1" thickBot="1">
      <c r="B30" s="87"/>
      <c r="C30" s="87"/>
      <c r="D30" s="87"/>
      <c r="E30" s="87"/>
      <c r="F30" s="263" t="s">
        <v>109</v>
      </c>
      <c r="G30" s="263" t="s">
        <v>106</v>
      </c>
      <c r="H30" s="262" t="s">
        <v>110</v>
      </c>
      <c r="I30" s="262"/>
      <c r="J30" s="263" t="s">
        <v>81</v>
      </c>
      <c r="L30" s="262" t="s">
        <v>438</v>
      </c>
    </row>
    <row r="31" spans="1:12" s="101" customFormat="1" ht="14.25" thickTop="1" thickBot="1">
      <c r="B31" s="102" t="s">
        <v>105</v>
      </c>
      <c r="C31" s="92"/>
      <c r="D31" s="92"/>
      <c r="E31" s="92"/>
      <c r="F31" s="263"/>
      <c r="G31" s="263"/>
      <c r="H31" s="92" t="s">
        <v>111</v>
      </c>
      <c r="I31" s="92" t="s">
        <v>89</v>
      </c>
      <c r="J31" s="263"/>
      <c r="K31" s="92" t="s">
        <v>107</v>
      </c>
      <c r="L31" s="263"/>
    </row>
    <row r="32" spans="1:12" ht="13.5" thickTop="1">
      <c r="A32" s="1"/>
      <c r="B32" s="255" t="s">
        <v>14</v>
      </c>
      <c r="C32" s="266" t="str">
        <f>IF(B32=0,"",VLOOKUP($B32,Materials[],2,FALSE))</f>
        <v>Fertilizer</v>
      </c>
      <c r="D32" s="266"/>
      <c r="E32" s="266"/>
      <c r="F32" s="134">
        <v>1</v>
      </c>
      <c r="G32" s="140">
        <v>1</v>
      </c>
      <c r="H32" s="139">
        <v>100</v>
      </c>
      <c r="I32" s="103" t="str">
        <f>IF($B32=0,"",VLOOKUP($B32,Materials[],5,FALSE))</f>
        <v>lbs N</v>
      </c>
      <c r="J32" s="104">
        <f>IF($B32=0,"",VLOOKUP($B32,Materials[],7,FALSE))</f>
        <v>0.70000000000000007</v>
      </c>
      <c r="K32" s="83">
        <f>IF(B32=0,0,ROUND(G32*H32*J32,2))</f>
        <v>70</v>
      </c>
      <c r="L32" s="95"/>
    </row>
    <row r="33" spans="1:12">
      <c r="A33" s="1"/>
      <c r="B33" s="255" t="s">
        <v>55</v>
      </c>
      <c r="C33" s="266" t="str">
        <f>IF(B33=0,"",VLOOKUP($B33,Materials[],2,FALSE))</f>
        <v>Seed</v>
      </c>
      <c r="D33" s="266"/>
      <c r="E33" s="266"/>
      <c r="F33" s="134">
        <v>2</v>
      </c>
      <c r="G33" s="140">
        <v>1</v>
      </c>
      <c r="H33" s="139">
        <v>2</v>
      </c>
      <c r="I33" s="103" t="str">
        <f>IF($B33=0,"",VLOOKUP($B33,Materials[],5,FALSE))</f>
        <v>bushel</v>
      </c>
      <c r="J33" s="104">
        <f>IF($B33=0,"",VLOOKUP($B33,Materials[],7,FALSE))</f>
        <v>8</v>
      </c>
      <c r="K33" s="83">
        <f t="shared" ref="K33:K51" si="3">IF(B33=0,0,ROUND(G33*H33*J33,2))</f>
        <v>16</v>
      </c>
      <c r="L33" s="95"/>
    </row>
    <row r="34" spans="1:12">
      <c r="A34" s="1"/>
      <c r="B34" s="255" t="s">
        <v>6</v>
      </c>
      <c r="C34" s="266" t="str">
        <f>IF(B34=0,"",VLOOKUP($B34,Materials[],2,FALSE))</f>
        <v>Fertilizer</v>
      </c>
      <c r="D34" s="266"/>
      <c r="E34" s="266"/>
      <c r="F34" s="134">
        <v>2</v>
      </c>
      <c r="G34" s="140">
        <v>1</v>
      </c>
      <c r="H34" s="139">
        <v>6</v>
      </c>
      <c r="I34" s="103" t="str">
        <f>IF($B34=0,"",VLOOKUP($B34,Materials[],5,FALSE))</f>
        <v>gallon</v>
      </c>
      <c r="J34" s="104">
        <f>IF($B34=0,"",VLOOKUP($B34,Materials[],7,FALSE))</f>
        <v>4.5</v>
      </c>
      <c r="K34" s="83">
        <f t="shared" si="3"/>
        <v>27</v>
      </c>
      <c r="L34" s="95"/>
    </row>
    <row r="35" spans="1:12">
      <c r="A35" s="1"/>
      <c r="B35" s="255" t="s">
        <v>462</v>
      </c>
      <c r="C35" s="266" t="str">
        <f>IF(B35=0,"",VLOOKUP($B35,Materials[],2,FALSE))</f>
        <v>Herbicide</v>
      </c>
      <c r="D35" s="266"/>
      <c r="E35" s="266"/>
      <c r="F35" s="134">
        <v>3</v>
      </c>
      <c r="G35" s="140">
        <v>1</v>
      </c>
      <c r="H35" s="139">
        <v>0.5</v>
      </c>
      <c r="I35" s="103" t="str">
        <f>IF($B35=0,"",VLOOKUP($B35,Materials[],5,FALSE))</f>
        <v>ounce</v>
      </c>
      <c r="J35" s="104">
        <f>IF($B35=0,"",VLOOKUP($B35,Materials[],7,FALSE))</f>
        <v>7.1875</v>
      </c>
      <c r="K35" s="83">
        <f t="shared" si="3"/>
        <v>3.59</v>
      </c>
      <c r="L35" s="95"/>
    </row>
    <row r="36" spans="1:12">
      <c r="A36" s="1"/>
      <c r="B36" s="255" t="s">
        <v>12</v>
      </c>
      <c r="C36" s="266" t="str">
        <f>IF(B36=0,"",VLOOKUP($B36,Materials[],2,FALSE))</f>
        <v>Herbicide</v>
      </c>
      <c r="D36" s="266"/>
      <c r="E36" s="266"/>
      <c r="F36" s="134">
        <v>3</v>
      </c>
      <c r="G36" s="140">
        <v>1</v>
      </c>
      <c r="H36" s="139">
        <v>0.5</v>
      </c>
      <c r="I36" s="103" t="str">
        <f>IF($B36=0,"",VLOOKUP($B36,Materials[],5,FALSE))</f>
        <v>pint</v>
      </c>
      <c r="J36" s="104">
        <f>IF($B36=0,"",VLOOKUP($B36,Materials[],7,FALSE))</f>
        <v>2.1875</v>
      </c>
      <c r="K36" s="83">
        <f t="shared" si="3"/>
        <v>1.0900000000000001</v>
      </c>
      <c r="L36" s="95"/>
    </row>
    <row r="37" spans="1:12">
      <c r="A37" s="1"/>
      <c r="B37" s="255" t="s">
        <v>54</v>
      </c>
      <c r="C37" s="266" t="str">
        <f>IF(B37=0,"",VLOOKUP($B37,Materials[],2,FALSE))</f>
        <v>Herbicide</v>
      </c>
      <c r="D37" s="266"/>
      <c r="E37" s="266"/>
      <c r="F37" s="134">
        <v>3</v>
      </c>
      <c r="G37" s="140">
        <v>1</v>
      </c>
      <c r="H37" s="139">
        <v>6</v>
      </c>
      <c r="I37" s="103" t="str">
        <f>IF($B37=0,"",VLOOKUP($B37,Materials[],5,FALSE))</f>
        <v>ounce</v>
      </c>
      <c r="J37" s="104">
        <f>IF($B37=0,"",VLOOKUP($B37,Materials[],7,FALSE))</f>
        <v>0.17</v>
      </c>
      <c r="K37" s="83">
        <f t="shared" si="3"/>
        <v>1.02</v>
      </c>
      <c r="L37" s="95"/>
    </row>
    <row r="38" spans="1:12">
      <c r="A38" s="124"/>
      <c r="B38" s="255" t="s">
        <v>46</v>
      </c>
      <c r="C38" s="266" t="str">
        <f>IF(B38=0,"",VLOOKUP($B38,Materials[],2,FALSE))</f>
        <v>Custom</v>
      </c>
      <c r="D38" s="266"/>
      <c r="E38" s="266"/>
      <c r="F38" s="134">
        <v>5</v>
      </c>
      <c r="G38" s="140">
        <v>1</v>
      </c>
      <c r="H38" s="139">
        <f>A3</f>
        <v>85</v>
      </c>
      <c r="I38" s="103" t="str">
        <f>IF($B38=0,"",VLOOKUP($B38,Materials[],5,FALSE))</f>
        <v>bushel</v>
      </c>
      <c r="J38" s="104">
        <f>IF($B38=0,"",VLOOKUP($B38,Materials[],7,FALSE))</f>
        <v>0.1</v>
      </c>
      <c r="K38" s="83">
        <f t="shared" si="3"/>
        <v>8.5</v>
      </c>
      <c r="L38" s="95"/>
    </row>
    <row r="39" spans="1:12" hidden="1">
      <c r="A39" s="124"/>
      <c r="B39" s="255"/>
      <c r="C39" s="266" t="str">
        <f>IF(B39=0,"",VLOOKUP($B39,Materials[],2,FALSE))</f>
        <v/>
      </c>
      <c r="D39" s="266"/>
      <c r="E39" s="266"/>
      <c r="F39" s="134"/>
      <c r="G39" s="140"/>
      <c r="H39" s="139"/>
      <c r="I39" s="103" t="str">
        <f>IF($B39=0,"",VLOOKUP($B39,Materials[],5,FALSE))</f>
        <v/>
      </c>
      <c r="J39" s="104" t="str">
        <f>IF($B39=0,"",VLOOKUP($B39,Materials[],7,FALSE))</f>
        <v/>
      </c>
      <c r="K39" s="83">
        <f t="shared" si="3"/>
        <v>0</v>
      </c>
      <c r="L39" s="95"/>
    </row>
    <row r="40" spans="1:12" hidden="1">
      <c r="A40" s="124"/>
      <c r="B40" s="254"/>
      <c r="C40" s="266" t="str">
        <f>IF(B40=0,"",VLOOKUP($B40,Materials[],2,FALSE))</f>
        <v/>
      </c>
      <c r="D40" s="266"/>
      <c r="E40" s="266"/>
      <c r="F40" s="133"/>
      <c r="G40" s="136"/>
      <c r="H40" s="137"/>
      <c r="I40" s="103" t="str">
        <f>IF($B40=0,"",VLOOKUP($B40,Materials[],5,FALSE))</f>
        <v/>
      </c>
      <c r="J40" s="104" t="str">
        <f>IF($B40=0,"",VLOOKUP($B40,Materials[],7,FALSE))</f>
        <v/>
      </c>
      <c r="K40" s="83">
        <f t="shared" si="3"/>
        <v>0</v>
      </c>
      <c r="L40" s="95"/>
    </row>
    <row r="41" spans="1:12" hidden="1">
      <c r="A41" s="124"/>
      <c r="B41" s="254"/>
      <c r="C41" s="266" t="str">
        <f>IF(B41=0,"",VLOOKUP($B41,Materials[],2,FALSE))</f>
        <v/>
      </c>
      <c r="D41" s="266"/>
      <c r="E41" s="266"/>
      <c r="F41" s="133"/>
      <c r="G41" s="136"/>
      <c r="H41" s="137"/>
      <c r="I41" s="103" t="str">
        <f>IF($B41=0,"",VLOOKUP($B41,Materials[],5,FALSE))</f>
        <v/>
      </c>
      <c r="J41" s="104" t="str">
        <f>IF($B41=0,"",VLOOKUP($B41,Materials[],7,FALSE))</f>
        <v/>
      </c>
      <c r="K41" s="83">
        <f t="shared" si="3"/>
        <v>0</v>
      </c>
      <c r="L41" s="95"/>
    </row>
    <row r="42" spans="1:12" hidden="1">
      <c r="A42" s="124"/>
      <c r="B42" s="254"/>
      <c r="C42" s="266" t="str">
        <f>IF(B42=0,"",VLOOKUP($B42,Materials[],2,FALSE))</f>
        <v/>
      </c>
      <c r="D42" s="266"/>
      <c r="E42" s="266"/>
      <c r="F42" s="133"/>
      <c r="G42" s="136"/>
      <c r="H42" s="137"/>
      <c r="I42" s="103" t="str">
        <f>IF($B42=0,"",VLOOKUP($B42,Materials[],5,FALSE))</f>
        <v/>
      </c>
      <c r="J42" s="104" t="str">
        <f>IF($B42=0,"",VLOOKUP($B42,Materials[],7,FALSE))</f>
        <v/>
      </c>
      <c r="K42" s="83">
        <f t="shared" si="3"/>
        <v>0</v>
      </c>
      <c r="L42" s="95"/>
    </row>
    <row r="43" spans="1:12" hidden="1">
      <c r="A43" s="1"/>
      <c r="B43" s="254"/>
      <c r="C43" s="266" t="str">
        <f>IF(B43=0,"",VLOOKUP($B43,Materials[],2,FALSE))</f>
        <v/>
      </c>
      <c r="D43" s="266"/>
      <c r="E43" s="266"/>
      <c r="F43" s="133"/>
      <c r="G43" s="136"/>
      <c r="H43" s="137"/>
      <c r="I43" s="103" t="str">
        <f>IF($B43=0,"",VLOOKUP($B43,Materials[],5,FALSE))</f>
        <v/>
      </c>
      <c r="J43" s="104" t="str">
        <f>IF($B43=0,"",VLOOKUP($B43,Materials[],7,FALSE))</f>
        <v/>
      </c>
      <c r="K43" s="83">
        <f t="shared" si="3"/>
        <v>0</v>
      </c>
      <c r="L43" s="95"/>
    </row>
    <row r="44" spans="1:12" hidden="1">
      <c r="A44" s="1"/>
      <c r="B44" s="254"/>
      <c r="C44" s="266" t="str">
        <f>IF(B44=0,"",VLOOKUP($B44,Materials[],2,FALSE))</f>
        <v/>
      </c>
      <c r="D44" s="266"/>
      <c r="E44" s="266"/>
      <c r="F44" s="133"/>
      <c r="G44" s="136"/>
      <c r="H44" s="137"/>
      <c r="I44" s="103" t="str">
        <f>IF($B44=0,"",VLOOKUP($B44,Materials[],5,FALSE))</f>
        <v/>
      </c>
      <c r="J44" s="104" t="str">
        <f>IF($B44=0,"",VLOOKUP($B44,Materials[],7,FALSE))</f>
        <v/>
      </c>
      <c r="K44" s="83">
        <f t="shared" si="3"/>
        <v>0</v>
      </c>
      <c r="L44" s="95"/>
    </row>
    <row r="45" spans="1:12" hidden="1">
      <c r="B45" s="255"/>
      <c r="C45" s="266" t="str">
        <f>IF(B45=0,"",VLOOKUP($B45,Materials[],2,FALSE))</f>
        <v/>
      </c>
      <c r="D45" s="266"/>
      <c r="E45" s="266"/>
      <c r="F45" s="134"/>
      <c r="G45" s="136"/>
      <c r="H45" s="139"/>
      <c r="I45" s="103" t="str">
        <f>IF($B45=0,"",VLOOKUP($B45,Materials[],5,FALSE))</f>
        <v/>
      </c>
      <c r="J45" s="104" t="str">
        <f>IF($B45=0,"",VLOOKUP($B45,Materials[],7,FALSE))</f>
        <v/>
      </c>
      <c r="K45" s="83">
        <f t="shared" si="3"/>
        <v>0</v>
      </c>
      <c r="L45" s="95"/>
    </row>
    <row r="46" spans="1:12" hidden="1">
      <c r="B46" s="255"/>
      <c r="C46" s="266" t="str">
        <f>IF(B46=0,"",VLOOKUP($B46,Materials[],2,FALSE))</f>
        <v/>
      </c>
      <c r="D46" s="266"/>
      <c r="E46" s="266"/>
      <c r="F46" s="134"/>
      <c r="G46" s="136"/>
      <c r="H46" s="139"/>
      <c r="I46" s="103" t="str">
        <f>IF($B46=0,"",VLOOKUP($B46,Materials[],5,FALSE))</f>
        <v/>
      </c>
      <c r="J46" s="104" t="str">
        <f>IF($B46=0,"",VLOOKUP($B46,Materials[],7,FALSE))</f>
        <v/>
      </c>
      <c r="K46" s="83">
        <f t="shared" si="3"/>
        <v>0</v>
      </c>
      <c r="L46" s="95"/>
    </row>
    <row r="47" spans="1:12" hidden="1">
      <c r="B47" s="255"/>
      <c r="C47" s="266" t="str">
        <f>IF(B47=0,"",VLOOKUP($B47,Materials[],2,FALSE))</f>
        <v/>
      </c>
      <c r="D47" s="266"/>
      <c r="E47" s="266"/>
      <c r="F47" s="134"/>
      <c r="G47" s="140"/>
      <c r="H47" s="139"/>
      <c r="I47" s="103" t="str">
        <f>IF($B47=0,"",VLOOKUP($B47,Materials[],5,FALSE))</f>
        <v/>
      </c>
      <c r="J47" s="104" t="str">
        <f>IF($B47=0,"",VLOOKUP($B47,Materials[],7,FALSE))</f>
        <v/>
      </c>
      <c r="K47" s="83">
        <f t="shared" si="3"/>
        <v>0</v>
      </c>
      <c r="L47" s="95"/>
    </row>
    <row r="48" spans="1:12" hidden="1">
      <c r="B48" s="255"/>
      <c r="C48" s="266" t="str">
        <f>IF(B48=0,"",VLOOKUP($B48,Materials[],2,FALSE))</f>
        <v/>
      </c>
      <c r="D48" s="266"/>
      <c r="E48" s="266"/>
      <c r="F48" s="134"/>
      <c r="G48" s="140"/>
      <c r="H48" s="139"/>
      <c r="I48" s="103" t="str">
        <f>IF($B48=0,"",VLOOKUP($B48,Materials[],5,FALSE))</f>
        <v/>
      </c>
      <c r="J48" s="104" t="str">
        <f>IF($B48=0,"",VLOOKUP($B48,Materials[],7,FALSE))</f>
        <v/>
      </c>
      <c r="K48" s="83">
        <f t="shared" si="3"/>
        <v>0</v>
      </c>
      <c r="L48" s="95"/>
    </row>
    <row r="49" spans="2:12" hidden="1">
      <c r="B49" s="255"/>
      <c r="C49" s="266" t="str">
        <f>IF(B49=0,"",VLOOKUP($B49,Materials[],2,FALSE))</f>
        <v/>
      </c>
      <c r="D49" s="266"/>
      <c r="E49" s="266"/>
      <c r="F49" s="134"/>
      <c r="G49" s="140"/>
      <c r="H49" s="139"/>
      <c r="I49" s="103" t="str">
        <f>IF($B49=0,"",VLOOKUP($B49,Materials[],5,FALSE))</f>
        <v/>
      </c>
      <c r="J49" s="104" t="str">
        <f>IF($B49=0,"",VLOOKUP($B49,Materials[],7,FALSE))</f>
        <v/>
      </c>
      <c r="K49" s="83">
        <f t="shared" si="3"/>
        <v>0</v>
      </c>
      <c r="L49" s="95"/>
    </row>
    <row r="50" spans="2:12" hidden="1">
      <c r="B50" s="255"/>
      <c r="C50" s="266" t="str">
        <f>IF(B50=0,"",VLOOKUP($B50,Materials[],2,FALSE))</f>
        <v/>
      </c>
      <c r="D50" s="266"/>
      <c r="E50" s="266"/>
      <c r="F50" s="134"/>
      <c r="G50" s="140"/>
      <c r="H50" s="139"/>
      <c r="I50" s="103" t="str">
        <f>IF($B50=0,"",VLOOKUP($B50,Materials[],5,FALSE))</f>
        <v/>
      </c>
      <c r="J50" s="104" t="str">
        <f>IF($B50=0,"",VLOOKUP($B50,Materials[],7,FALSE))</f>
        <v/>
      </c>
      <c r="K50" s="83">
        <f t="shared" si="3"/>
        <v>0</v>
      </c>
      <c r="L50" s="96"/>
    </row>
    <row r="51" spans="2:12" hidden="1">
      <c r="B51" s="255"/>
      <c r="C51" s="266" t="str">
        <f>IF(B51=0,"",VLOOKUP($B51,Materials[],2,FALSE))</f>
        <v/>
      </c>
      <c r="D51" s="266"/>
      <c r="E51" s="266"/>
      <c r="F51" s="134"/>
      <c r="G51" s="140"/>
      <c r="H51" s="139"/>
      <c r="I51" s="103" t="str">
        <f>IF($B51=0,"",VLOOKUP($B51,Materials[],5,FALSE))</f>
        <v/>
      </c>
      <c r="J51" s="104" t="str">
        <f>IF($B51=0,"",VLOOKUP($B51,Materials[],7,FALSE))</f>
        <v/>
      </c>
      <c r="K51" s="84">
        <f t="shared" si="3"/>
        <v>0</v>
      </c>
      <c r="L51" s="96"/>
    </row>
    <row r="52" spans="2:12" ht="3.75" customHeight="1" thickBot="1">
      <c r="B52" s="97"/>
      <c r="C52" s="105"/>
      <c r="D52" s="105"/>
      <c r="E52" s="105"/>
      <c r="F52" s="98"/>
      <c r="G52" s="106"/>
      <c r="H52" s="107"/>
      <c r="I52" s="108"/>
      <c r="J52" s="109"/>
      <c r="K52" s="86"/>
      <c r="L52" s="99"/>
    </row>
    <row r="53" spans="2:12" ht="13.5" thickTop="1">
      <c r="C53" s="100" t="s">
        <v>108</v>
      </c>
      <c r="D53" s="100"/>
      <c r="J53" s="83"/>
      <c r="K53" s="83">
        <f>SUM(K32:K51)</f>
        <v>127.2</v>
      </c>
      <c r="L53" s="95"/>
    </row>
    <row r="54" spans="2:12">
      <c r="B54" s="125"/>
    </row>
    <row r="55" spans="2:12">
      <c r="B55" s="90" t="s">
        <v>112</v>
      </c>
      <c r="K55" s="83">
        <f>K28+K53</f>
        <v>172.7</v>
      </c>
      <c r="L55" s="95"/>
    </row>
    <row r="56" spans="2:12" ht="13.5" thickBot="1">
      <c r="D56" s="110" t="s">
        <v>439</v>
      </c>
      <c r="E56" s="111">
        <f>SUM($E$28:$H$28)+$K$53</f>
        <v>149.07</v>
      </c>
      <c r="F56" s="268" t="s">
        <v>440</v>
      </c>
      <c r="G56" s="268"/>
      <c r="H56" s="112">
        <f>'General Variables'!$B$9</f>
        <v>0.08</v>
      </c>
      <c r="I56" s="113" t="str">
        <f>CONCATENATE("for ",TEXT('General Variables'!$B$10,"0.0")," mo.")</f>
        <v>for 6.0 mo.</v>
      </c>
      <c r="K56" s="114">
        <f>ROUND(E56*H56*'General Variables'!$B$10/12,2)</f>
        <v>5.96</v>
      </c>
      <c r="L56" s="115"/>
    </row>
    <row r="57" spans="2:12" ht="13.5" thickTop="1">
      <c r="B57" s="90" t="s">
        <v>444</v>
      </c>
      <c r="K57" s="83">
        <f>SUM(K55:K56)</f>
        <v>178.66</v>
      </c>
      <c r="L57" s="95"/>
    </row>
    <row r="59" spans="2:12">
      <c r="B59" s="116" t="s">
        <v>487</v>
      </c>
      <c r="C59" s="117"/>
      <c r="D59" s="117"/>
      <c r="E59" s="117"/>
      <c r="F59" s="117"/>
      <c r="G59" s="117"/>
      <c r="H59" s="117"/>
      <c r="I59" s="117"/>
      <c r="J59" s="117"/>
      <c r="K59" s="118">
        <f>'General Variables'!B12</f>
        <v>5</v>
      </c>
      <c r="L59" s="95"/>
    </row>
    <row r="60" spans="2:12">
      <c r="B60" s="39" t="s">
        <v>447</v>
      </c>
      <c r="C60" s="269" t="s">
        <v>449</v>
      </c>
      <c r="D60" s="270"/>
      <c r="E60" s="271"/>
      <c r="F60" s="119">
        <f>IF(C60=0,0,VLOOKUP(C60,RETable,2,FALSE))</f>
        <v>1850</v>
      </c>
      <c r="G60" s="268" t="s">
        <v>448</v>
      </c>
      <c r="H60" s="268"/>
      <c r="I60" s="112">
        <f>'General Variables'!$B$8</f>
        <v>0.04</v>
      </c>
      <c r="K60" s="120">
        <f>ROUND(F60*I60,2)</f>
        <v>74</v>
      </c>
      <c r="L60" s="95"/>
    </row>
    <row r="61" spans="2:12" ht="13.5" thickBot="1">
      <c r="B61" s="39" t="s">
        <v>458</v>
      </c>
      <c r="F61" s="121">
        <f>IF(C60=0,0,VLOOKUP(C60,RETable,2,FALSE))</f>
        <v>1850</v>
      </c>
      <c r="G61" s="267" t="s">
        <v>448</v>
      </c>
      <c r="H61" s="267"/>
      <c r="I61" s="122">
        <f>'General Variables'!$B$11</f>
        <v>0.01</v>
      </c>
      <c r="J61" s="1"/>
      <c r="K61" s="123">
        <f>ROUND(F61*I61,2)</f>
        <v>18.5</v>
      </c>
      <c r="L61" s="115"/>
    </row>
    <row r="62" spans="2:12" ht="13.5" thickTop="1">
      <c r="B62" s="90" t="s">
        <v>472</v>
      </c>
      <c r="K62" s="83">
        <f>SUM(K57:K61)</f>
        <v>276.15999999999997</v>
      </c>
      <c r="L62" s="95"/>
    </row>
    <row r="64" spans="2:12">
      <c r="B64" s="90" t="str">
        <f>"Cost per "&amp;$B$3</f>
        <v>Cost per bushel</v>
      </c>
      <c r="K64" s="83">
        <f>IF(A3="Yield",0,K62/$A$3)</f>
        <v>3.2489411764705878</v>
      </c>
      <c r="L64" s="95"/>
    </row>
    <row r="65" spans="2:12">
      <c r="B65" s="55" t="str">
        <f>"Cash Cost per "&amp;$B$3</f>
        <v>Cash Cost per bushel</v>
      </c>
      <c r="C65" s="1"/>
      <c r="D65" s="1"/>
      <c r="E65" s="1"/>
      <c r="F65" s="1"/>
      <c r="G65" s="1"/>
      <c r="H65" s="1"/>
      <c r="I65" s="1"/>
      <c r="J65" s="1"/>
      <c r="K65" s="24">
        <f>IF($A$3="Yield",0,(E56+K56+K61)/$A$3)</f>
        <v>2.041529411764706</v>
      </c>
      <c r="L65" s="126"/>
    </row>
    <row r="75" spans="2:12">
      <c r="B75" s="88"/>
      <c r="C75" s="88"/>
      <c r="D75" s="88"/>
    </row>
    <row r="76" spans="2:12">
      <c r="B76" s="88"/>
      <c r="C76" s="88"/>
      <c r="D76" s="88"/>
    </row>
    <row r="77" spans="2:12">
      <c r="B77" s="88"/>
      <c r="C77" s="88"/>
      <c r="D77" s="88"/>
    </row>
    <row r="78" spans="2:12">
      <c r="B78" s="88"/>
      <c r="C78" s="88"/>
      <c r="D78" s="88"/>
    </row>
    <row r="79" spans="2:12">
      <c r="B79" s="88"/>
      <c r="C79" s="88"/>
      <c r="D79" s="88"/>
    </row>
    <row r="80" spans="2:12">
      <c r="B80" s="88"/>
      <c r="C80" s="88"/>
      <c r="D80" s="88"/>
    </row>
    <row r="81" spans="2:4">
      <c r="B81" s="88"/>
      <c r="C81" s="88"/>
      <c r="D81" s="88"/>
    </row>
    <row r="82" spans="2:4">
      <c r="B82" s="88"/>
      <c r="C82" s="88"/>
      <c r="D82" s="88"/>
    </row>
    <row r="83" spans="2:4">
      <c r="B83" s="88"/>
      <c r="C83" s="88"/>
      <c r="D83" s="88"/>
    </row>
    <row r="84" spans="2:4">
      <c r="B84" s="88"/>
      <c r="C84" s="88"/>
      <c r="D84" s="88"/>
    </row>
    <row r="85" spans="2:4">
      <c r="B85" s="88"/>
      <c r="C85" s="88"/>
      <c r="D85" s="88"/>
    </row>
    <row r="86" spans="2:4">
      <c r="B86" s="88"/>
      <c r="C86" s="88"/>
      <c r="D86" s="88"/>
    </row>
    <row r="87" spans="2:4">
      <c r="B87" s="88"/>
      <c r="C87" s="88"/>
      <c r="D87" s="88"/>
    </row>
    <row r="88" spans="2:4">
      <c r="B88" s="88"/>
      <c r="C88" s="88"/>
      <c r="D88" s="88"/>
    </row>
    <row r="89" spans="2:4">
      <c r="B89" s="88"/>
      <c r="C89" s="88"/>
      <c r="D89" s="88"/>
    </row>
    <row r="90" spans="2:4">
      <c r="B90" s="88"/>
      <c r="C90" s="88"/>
      <c r="D90" s="88"/>
    </row>
    <row r="91" spans="2:4">
      <c r="B91" s="88"/>
      <c r="C91" s="88"/>
      <c r="D91" s="88"/>
    </row>
    <row r="92" spans="2:4">
      <c r="B92" s="88"/>
      <c r="C92" s="88"/>
      <c r="D92" s="88"/>
    </row>
    <row r="93" spans="2:4">
      <c r="B93" s="88"/>
      <c r="C93" s="88"/>
      <c r="D93" s="88"/>
    </row>
    <row r="94" spans="2:4">
      <c r="B94" s="88"/>
      <c r="C94" s="88"/>
      <c r="D94" s="88"/>
    </row>
    <row r="95" spans="2:4">
      <c r="B95" s="88"/>
      <c r="C95" s="88"/>
      <c r="D95" s="88"/>
    </row>
    <row r="96" spans="2:4">
      <c r="B96" s="88"/>
      <c r="C96" s="88"/>
      <c r="D96" s="88"/>
    </row>
    <row r="97" spans="2:6">
      <c r="B97" s="88"/>
      <c r="C97" s="88"/>
      <c r="D97" s="88"/>
    </row>
    <row r="98" spans="2:6">
      <c r="B98" s="88"/>
      <c r="C98" s="88"/>
      <c r="D98" s="88"/>
    </row>
    <row r="99" spans="2:6">
      <c r="B99" s="88"/>
      <c r="C99" s="88"/>
      <c r="D99" s="88"/>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9.xml><?xml version="1.0" encoding="utf-8"?>
<worksheet xmlns="http://schemas.openxmlformats.org/spreadsheetml/2006/main" xmlns:r="http://schemas.openxmlformats.org/officeDocument/2006/relationships">
  <sheetPr codeName="Sheet34">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7" t="s">
        <v>536</v>
      </c>
      <c r="B1" s="89"/>
      <c r="C1" s="87"/>
      <c r="D1" s="87"/>
      <c r="E1" s="89"/>
      <c r="F1" s="87"/>
      <c r="G1" s="87"/>
      <c r="H1" s="129" t="s">
        <v>115</v>
      </c>
      <c r="I1" s="89"/>
      <c r="J1" s="90"/>
      <c r="K1" s="100" t="str">
        <f>'General Variables'!A1&amp;" "&amp;'General Variables'!B1</f>
        <v>Year 2011</v>
      </c>
      <c r="O1" s="88" t="s">
        <v>528</v>
      </c>
    </row>
    <row r="2" spans="1:15">
      <c r="A2" s="127" t="s">
        <v>120</v>
      </c>
      <c r="B2" s="89"/>
      <c r="C2" s="87"/>
      <c r="D2" s="87"/>
      <c r="E2" s="89"/>
      <c r="F2" s="87"/>
      <c r="G2" s="87"/>
      <c r="H2" s="132">
        <v>18</v>
      </c>
      <c r="I2" s="252" t="str">
        <f>IF(H2="","","acre-inches")</f>
        <v>acre-inches</v>
      </c>
      <c r="J2" s="90"/>
      <c r="K2" s="90"/>
      <c r="O2" s="88" t="s">
        <v>527</v>
      </c>
    </row>
    <row r="3" spans="1:15">
      <c r="A3" s="127">
        <v>11</v>
      </c>
      <c r="B3" s="127" t="s">
        <v>121</v>
      </c>
      <c r="C3" s="87"/>
      <c r="D3" s="87"/>
      <c r="E3" s="89"/>
      <c r="F3" s="89"/>
      <c r="G3" s="89"/>
      <c r="H3" s="89"/>
      <c r="I3" s="89"/>
      <c r="J3" s="90"/>
      <c r="K3" s="90"/>
      <c r="O3" s="88" t="str">
        <f>B3</f>
        <v>AUM</v>
      </c>
    </row>
    <row r="5" spans="1:15" s="90" customFormat="1" ht="22.5" customHeight="1">
      <c r="B5" s="260" t="s">
        <v>92</v>
      </c>
      <c r="C5" s="262" t="s">
        <v>1</v>
      </c>
      <c r="D5" s="91"/>
      <c r="E5" s="262" t="str">
        <f>"Labor @ $" &amp;TEXT('General Variables'!B2,"#.00")&amp; " /Hr"</f>
        <v>Labor @ $12.00 /Hr</v>
      </c>
      <c r="F5" s="262" t="str">
        <f>"Fuel @ $" &amp; TEXT('General Variables'!B3,"#.00") &amp; " and Lube"</f>
        <v>Fuel @ $3.00 and Lube</v>
      </c>
      <c r="G5" s="264" t="s">
        <v>93</v>
      </c>
      <c r="H5" s="264"/>
      <c r="I5" s="264" t="s">
        <v>416</v>
      </c>
      <c r="J5" s="264"/>
      <c r="K5" s="264" t="s">
        <v>2</v>
      </c>
      <c r="L5" s="262" t="s">
        <v>438</v>
      </c>
    </row>
    <row r="6" spans="1:15" s="90" customFormat="1" ht="17.25" customHeight="1" thickBot="1">
      <c r="B6" s="261"/>
      <c r="C6" s="263"/>
      <c r="D6" s="92" t="s">
        <v>89</v>
      </c>
      <c r="E6" s="263"/>
      <c r="F6" s="263"/>
      <c r="G6" s="93" t="s">
        <v>94</v>
      </c>
      <c r="H6" s="93" t="s">
        <v>96</v>
      </c>
      <c r="I6" s="93" t="s">
        <v>94</v>
      </c>
      <c r="J6" s="93" t="s">
        <v>96</v>
      </c>
      <c r="K6" s="265"/>
      <c r="L6" s="263"/>
    </row>
    <row r="7" spans="1:15" ht="13.5" thickTop="1">
      <c r="A7" s="94">
        <v>1</v>
      </c>
      <c r="B7" s="255" t="s">
        <v>336</v>
      </c>
      <c r="C7" s="133">
        <f>H2</f>
        <v>18</v>
      </c>
      <c r="D7" s="256" t="s">
        <v>527</v>
      </c>
      <c r="E7" s="85">
        <f>IF(B7=0,"",IF(C7&gt;9999,"",ROUND('General Variables'!$B$2*VLOOKUP(B7,Operations[],10,FALSE)/VLOOKUP(B7,Operations[],9,FALSE)*C7,2)))</f>
        <v>7.5</v>
      </c>
      <c r="F7" s="85">
        <f>IF(B7=0,0,ROUND(IF(VLOOKUP(B7,Operations[],12,FALSE)=0,VLOOKUP(B7,Operations[],13,FALSE)*'General Variables'!$B$6,VLOOKUP(B7,Operations[],12,FALSE)*'General Variables'!$B$5)/VLOOKUP(B7,Operations[],9,FALSE)*LEFT(C7,3),2))</f>
        <v>115.23</v>
      </c>
      <c r="G7" s="85">
        <f>IF(B7=0,0,ROUND(VLOOKUP(VLOOKUP(B7,Operations[],11,FALSE),PowerUnits[],10,FALSE)/VLOOKUP(B7,Operations[],9,FALSE)*LEFT(C7,3),2))</f>
        <v>5.88</v>
      </c>
      <c r="H7" s="85">
        <f>IF(B7=0,"",ROUND(VLOOKUP($B7,Operations[],15,FALSE)*LEFT(C7,3),2))</f>
        <v>20.75</v>
      </c>
      <c r="I7" s="85">
        <f>IF(B7=0,0,ROUND(VLOOKUP(VLOOKUP(B7,Operations[],11,FALSE),PowerUnits[],16,FALSE)/VLOOKUP(B7,Operations[],9,FALSE)*LEFT(C7,3),2))</f>
        <v>16.18</v>
      </c>
      <c r="J7" s="85">
        <f>IF(B7=0,"",ROUND(VLOOKUP($B7,Operations[],21,FALSE)*LEFT(C7,3),2))</f>
        <v>12.41</v>
      </c>
      <c r="K7" s="85">
        <f>SUM(E7:J7)</f>
        <v>177.95000000000002</v>
      </c>
      <c r="L7" s="87"/>
    </row>
    <row r="8" spans="1:15" hidden="1">
      <c r="A8" s="94">
        <v>2</v>
      </c>
      <c r="B8" s="254"/>
      <c r="C8" s="133"/>
      <c r="D8" s="256"/>
      <c r="E8" s="84" t="str">
        <f>IF(B8=0,"",IF(C8&gt;9999,"",ROUND('General Variables'!$B$2*VLOOKUP(B8,Operations[],10,FALSE)/VLOOKUP(B8,Operations[],9,FALSE)*C8,2)))</f>
        <v/>
      </c>
      <c r="F8" s="84">
        <f>IF(B8=0,0,IF(C8&gt;9999,"",ROUND(IF(VLOOKUP(B8,Operations[],12,FALSE)=0,VLOOKUP(B8,Operations[],13,FALSE)*'General Variables'!$B$6,VLOOKUP(B8,Operations[],12,FALSE)*'General Variables'!$B$5)/VLOOKUP(B8,Operations[],9,FALSE)*C8,2)))</f>
        <v>0</v>
      </c>
      <c r="G8" s="84">
        <f>IF(B8=0,0,IF(C8&gt;9999,"",ROUND(VLOOKUP(VLOOKUP(B8,Operations[],11,FALSE),PowerUnits[],10,FALSE)/VLOOKUP(B8,Operations[],9,FALSE)*C8,2)))</f>
        <v>0</v>
      </c>
      <c r="H8" s="84" t="str">
        <f>IF(B8=0,"",IF(C8&gt;9999,"",ROUND(VLOOKUP($B8,Operations[],15,FALSE)*C8,2)))</f>
        <v/>
      </c>
      <c r="I8" s="84">
        <f>IF(B8=0,0,IF(C8&gt;9999,"",ROUND(VLOOKUP(VLOOKUP(B8,Operations[],11,FALSE),PowerUnits[],16,FALSE)/VLOOKUP(B8,Operations[],9,FALSE)*C8,2)))</f>
        <v>0</v>
      </c>
      <c r="J8" s="84" t="str">
        <f>IF(B8=0,"",IF(C8&gt;9999,"",ROUND(VLOOKUP($B8,Operations[],21,FALSE)*$C8,2)))</f>
        <v/>
      </c>
      <c r="K8" s="84">
        <f t="shared" ref="K8:K26" si="0">IF(C8&gt;9999,"",ROUND(SUM(E8:J8),2))</f>
        <v>0</v>
      </c>
      <c r="L8" s="95"/>
    </row>
    <row r="9" spans="1:15" hidden="1">
      <c r="A9" s="94">
        <v>3</v>
      </c>
      <c r="B9" s="254"/>
      <c r="C9" s="133"/>
      <c r="D9" s="256"/>
      <c r="E9" s="84" t="str">
        <f>IF(B9=0,"",IF(C9&gt;9999,"",ROUND('General Variables'!$B$2*VLOOKUP(B9,Operations[],10,FALSE)/VLOOKUP(B9,Operations[],9,FALSE)*C9,2)))</f>
        <v/>
      </c>
      <c r="F9" s="84">
        <f>IF(B9=0,0,IF(C9&gt;9999,"",ROUND(IF(VLOOKUP(B9,Operations[],12,FALSE)=0,VLOOKUP(B9,Operations[],13,FALSE)*'General Variables'!$B$6,VLOOKUP(B9,Operations[],12,FALSE)*'General Variables'!$B$5)/VLOOKUP(B9,Operations[],9,FALSE)*C9,2)))</f>
        <v>0</v>
      </c>
      <c r="G9" s="84">
        <f>IF(B9=0,0,IF(C9&gt;9999,"",ROUND(VLOOKUP(VLOOKUP(B9,Operations[],11,FALSE),PowerUnits[],10,FALSE)/VLOOKUP(B9,Operations[],9,FALSE)*C9,2)))</f>
        <v>0</v>
      </c>
      <c r="H9" s="84" t="str">
        <f>IF(B9=0,"",IF(C9&gt;9999,"",ROUND(VLOOKUP($B9,Operations[],15,FALSE)*C9,2)))</f>
        <v/>
      </c>
      <c r="I9" s="84">
        <f>IF(B9=0,0,IF(C9&gt;9999,"",ROUND(VLOOKUP(VLOOKUP(B9,Operations[],11,FALSE),PowerUnits[],16,FALSE)/VLOOKUP(B9,Operations[],9,FALSE)*C9,2)))</f>
        <v>0</v>
      </c>
      <c r="J9" s="84" t="str">
        <f>IF(B9=0,"",IF(C9&gt;9999,"",ROUND(VLOOKUP($B9,Operations[],21,FALSE)*$C9,2)))</f>
        <v/>
      </c>
      <c r="K9" s="84">
        <f t="shared" si="0"/>
        <v>0</v>
      </c>
      <c r="L9" s="95"/>
    </row>
    <row r="10" spans="1:15" hidden="1">
      <c r="A10" s="94">
        <v>4</v>
      </c>
      <c r="B10" s="254"/>
      <c r="C10" s="133"/>
      <c r="D10" s="256"/>
      <c r="E10" s="84" t="str">
        <f>IF(B10=0,"",IF(C10&gt;9999,"",ROUND('General Variables'!$B$2*VLOOKUP(B10,Operations[],10,FALSE)/VLOOKUP(B10,Operations[],9,FALSE)*C10,2)))</f>
        <v/>
      </c>
      <c r="F10" s="84">
        <f>IF(B10=0,0,IF(C10&gt;9999,"",ROUND(IF(VLOOKUP(B10,Operations[],12,FALSE)=0,VLOOKUP(B10,Operations[],13,FALSE)*'General Variables'!$B$6,VLOOKUP(B10,Operations[],12,FALSE)*'General Variables'!$B$5)/VLOOKUP(B10,Operations[],9,FALSE)*C10,2)))</f>
        <v>0</v>
      </c>
      <c r="G10" s="84">
        <f>IF(B10=0,0,IF(C10&gt;9999,"",ROUND(VLOOKUP(VLOOKUP(B10,Operations[],11,FALSE),PowerUnits[],10,FALSE)/VLOOKUP(B10,Operations[],9,FALSE)*C10,2)))</f>
        <v>0</v>
      </c>
      <c r="H10" s="84" t="str">
        <f>IF(B10=0,"",IF(C10&gt;9999,"",ROUND(VLOOKUP($B10,Operations[],15,FALSE)*C10,2)))</f>
        <v/>
      </c>
      <c r="I10" s="84">
        <f>IF(B10=0,0,IF(C10&gt;9999,"",ROUND(VLOOKUP(VLOOKUP(B10,Operations[],11,FALSE),PowerUnits[],16,FALSE)/VLOOKUP(B10,Operations[],9,FALSE)*C10,2)))</f>
        <v>0</v>
      </c>
      <c r="J10" s="84" t="str">
        <f>IF(B10=0,"",IF(C10&gt;9999,"",ROUND(VLOOKUP($B10,Operations[],21,FALSE)*$C10,2)))</f>
        <v/>
      </c>
      <c r="K10" s="84">
        <f t="shared" si="0"/>
        <v>0</v>
      </c>
      <c r="L10" s="95"/>
    </row>
    <row r="11" spans="1:15" hidden="1">
      <c r="A11" s="94">
        <v>5</v>
      </c>
      <c r="B11" s="254"/>
      <c r="C11" s="133"/>
      <c r="D11" s="256"/>
      <c r="E11" s="84" t="str">
        <f>IF(B11=0,"",IF(C11&gt;9999,"",ROUND('General Variables'!$B$2*VLOOKUP(B11,Operations[],10,FALSE)/VLOOKUP(B11,Operations[],9,FALSE)*C11,2)))</f>
        <v/>
      </c>
      <c r="F11" s="84">
        <f>IF(B11=0,0,IF(C11&gt;9999,"",ROUND(IF(VLOOKUP(B11,Operations[],12,FALSE)=0,VLOOKUP(B11,Operations[],13,FALSE)*'General Variables'!$B$6,VLOOKUP(B11,Operations[],12,FALSE)*'General Variables'!$B$5)/VLOOKUP(B11,Operations[],9,FALSE)*C11,2)))</f>
        <v>0</v>
      </c>
      <c r="G11" s="84">
        <f>IF(B11=0,0,IF(C11&gt;9999,"",ROUND(VLOOKUP(VLOOKUP(B11,Operations[],11,FALSE),PowerUnits[],10,FALSE)/VLOOKUP(B11,Operations[],9,FALSE)*C11,2)))</f>
        <v>0</v>
      </c>
      <c r="H11" s="84" t="str">
        <f>IF(B11=0,"",IF(C11&gt;9999,"",ROUND(VLOOKUP($B11,Operations[],15,FALSE)*C11,2)))</f>
        <v/>
      </c>
      <c r="I11" s="84">
        <f>IF(B11=0,0,IF(C11&gt;9999,"",ROUND(VLOOKUP(VLOOKUP(B11,Operations[],11,FALSE),PowerUnits[],16,FALSE)/VLOOKUP(B11,Operations[],9,FALSE)*C11,2)))</f>
        <v>0</v>
      </c>
      <c r="J11" s="84" t="str">
        <f>IF(B11=0,"",IF(C11&gt;9999,"",ROUND(VLOOKUP($B11,Operations[],21,FALSE)*$C11,2)))</f>
        <v/>
      </c>
      <c r="K11" s="84">
        <f t="shared" si="0"/>
        <v>0</v>
      </c>
      <c r="L11" s="95"/>
    </row>
    <row r="12" spans="1:15" hidden="1">
      <c r="A12" s="94">
        <v>6</v>
      </c>
      <c r="B12" s="254"/>
      <c r="C12" s="133"/>
      <c r="D12" s="256"/>
      <c r="E12" s="84" t="str">
        <f>IF(B12=0,"",IF(C12&gt;9999,"",ROUND('General Variables'!$B$2*VLOOKUP(B12,Operations[],10,FALSE)/VLOOKUP(B12,Operations[],9,FALSE)*C12,2)))</f>
        <v/>
      </c>
      <c r="F12" s="84">
        <f>IF(B12=0,0,IF(C12&gt;9999,"",ROUND(IF(VLOOKUP(B12,Operations[],12,FALSE)=0,VLOOKUP(B12,Operations[],13,FALSE)*'General Variables'!$B$6,VLOOKUP(B12,Operations[],12,FALSE)*'General Variables'!$B$5)/VLOOKUP(B12,Operations[],9,FALSE)*C12,2)))</f>
        <v>0</v>
      </c>
      <c r="G12" s="84">
        <f>IF(B12=0,0,IF(C12&gt;9999,"",ROUND(VLOOKUP(VLOOKUP(B12,Operations[],11,FALSE),PowerUnits[],10,FALSE)/VLOOKUP(B12,Operations[],9,FALSE)*C12,2)))</f>
        <v>0</v>
      </c>
      <c r="H12" s="84" t="str">
        <f>IF(B12=0,"",IF(C12&gt;9999,"",ROUND(VLOOKUP($B12,Operations[],15,FALSE)*C12,2)))</f>
        <v/>
      </c>
      <c r="I12" s="84">
        <f>IF(B12=0,0,IF(C12&gt;9999,"",ROUND(VLOOKUP(VLOOKUP(B12,Operations[],11,FALSE),PowerUnits[],16,FALSE)/VLOOKUP(B12,Operations[],9,FALSE)*C12,2)))</f>
        <v>0</v>
      </c>
      <c r="J12" s="84" t="str">
        <f>IF(B12=0,"",IF(C12&gt;9999,"",ROUND(VLOOKUP($B12,Operations[],21,FALSE)*$C12,2)))</f>
        <v/>
      </c>
      <c r="K12" s="84">
        <f t="shared" si="0"/>
        <v>0</v>
      </c>
      <c r="L12" s="95"/>
    </row>
    <row r="13" spans="1:15" hidden="1">
      <c r="A13" s="94">
        <v>7</v>
      </c>
      <c r="B13" s="254"/>
      <c r="C13" s="133"/>
      <c r="D13" s="256"/>
      <c r="E13" s="84" t="str">
        <f>IF(B13=0,"",IF(C13&gt;9999,"",ROUND('General Variables'!$B$2*VLOOKUP(B13,Operations[],10,FALSE)/VLOOKUP(B13,Operations[],9,FALSE)*C13,2)))</f>
        <v/>
      </c>
      <c r="F13" s="84">
        <f>IF(B13=0,0,IF(C13&gt;9999,"",ROUND(IF(VLOOKUP(B13,Operations[],12,FALSE)=0,VLOOKUP(B13,Operations[],13,FALSE)*'General Variables'!$B$6,VLOOKUP(B13,Operations[],12,FALSE)*'General Variables'!$B$5)/VLOOKUP(B13,Operations[],9,FALSE)*C13,2)))</f>
        <v>0</v>
      </c>
      <c r="G13" s="84">
        <f>IF(B13=0,0,IF(C13&gt;9999,"",ROUND(VLOOKUP(VLOOKUP(B13,Operations[],11,FALSE),PowerUnits[],10,FALSE)/VLOOKUP(B13,Operations[],9,FALSE)*C13,2)))</f>
        <v>0</v>
      </c>
      <c r="H13" s="84" t="str">
        <f>IF(B13=0,"",IF(C13&gt;9999,"",ROUND(VLOOKUP($B13,Operations[],15,FALSE)*C13,2)))</f>
        <v/>
      </c>
      <c r="I13" s="84">
        <f>IF(B13=0,0,IF(C13&gt;9999,"",ROUND(VLOOKUP(VLOOKUP(B13,Operations[],11,FALSE),PowerUnits[],16,FALSE)/VLOOKUP(B13,Operations[],9,FALSE)*C13,2)))</f>
        <v>0</v>
      </c>
      <c r="J13" s="84" t="str">
        <f>IF(B13=0,"",IF(C13&gt;9999,"",ROUND(VLOOKUP($B13,Operations[],21,FALSE)*$C13,2)))</f>
        <v/>
      </c>
      <c r="K13" s="84">
        <f t="shared" si="0"/>
        <v>0</v>
      </c>
      <c r="L13" s="95"/>
    </row>
    <row r="14" spans="1:15" hidden="1">
      <c r="A14" s="94">
        <v>8</v>
      </c>
      <c r="B14" s="254"/>
      <c r="C14" s="133"/>
      <c r="D14" s="256"/>
      <c r="E14" s="84" t="str">
        <f>IF(B14=0,"",IF(C14&gt;9999,"",ROUND('General Variables'!$B$2*VLOOKUP(B14,Operations[],10,FALSE)/VLOOKUP(B14,Operations[],9,FALSE)*C14,2)))</f>
        <v/>
      </c>
      <c r="F14" s="84">
        <f>IF(B14=0,0,IF(C14&gt;9999,"",ROUND(IF(VLOOKUP(B14,Operations[],12,FALSE)=0,VLOOKUP(B14,Operations[],13,FALSE)*'General Variables'!$B$6,VLOOKUP(B14,Operations[],12,FALSE)*'General Variables'!$B$5)/VLOOKUP(B14,Operations[],9,FALSE)*C14,2)))</f>
        <v>0</v>
      </c>
      <c r="G14" s="84">
        <f>IF(B14=0,0,IF(C14&gt;9999,"",ROUND(VLOOKUP(VLOOKUP(B14,Operations[],11,FALSE),PowerUnits[],10,FALSE)/VLOOKUP(B14,Operations[],9,FALSE)*C14,2)))</f>
        <v>0</v>
      </c>
      <c r="H14" s="84" t="str">
        <f>IF(B14=0,"",IF(C14&gt;9999,"",ROUND(VLOOKUP($B14,Operations[],15,FALSE)*C14,2)))</f>
        <v/>
      </c>
      <c r="I14" s="84">
        <f>IF(B14=0,0,IF(C14&gt;9999,"",ROUND(VLOOKUP(VLOOKUP(B14,Operations[],11,FALSE),PowerUnits[],16,FALSE)/VLOOKUP(B14,Operations[],9,FALSE)*C14,2)))</f>
        <v>0</v>
      </c>
      <c r="J14" s="84" t="str">
        <f>IF(B14=0,"",IF(C14&gt;9999,"",ROUND(VLOOKUP($B14,Operations[],21,FALSE)*$C14,2)))</f>
        <v/>
      </c>
      <c r="K14" s="84">
        <f t="shared" si="0"/>
        <v>0</v>
      </c>
      <c r="L14" s="95"/>
    </row>
    <row r="15" spans="1:15" hidden="1">
      <c r="A15" s="94">
        <v>9</v>
      </c>
      <c r="B15" s="254"/>
      <c r="C15" s="133"/>
      <c r="D15" s="257"/>
      <c r="E15" s="84" t="str">
        <f>IF(B15=0,"",IF(C15&gt;9999,"",ROUND('General Variables'!$B$2*VLOOKUP(B15,Operations[],10,FALSE)/VLOOKUP(B15,Operations[],9,FALSE)*C15,2)))</f>
        <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t="str">
        <f>IF(B15=0,"",IF(C15&gt;9999,"",ROUND(VLOOKUP($B15,Operations[],15,FALSE)*C15,2)))</f>
        <v/>
      </c>
      <c r="I15" s="84">
        <f>IF(B15=0,0,IF(C15&gt;9999,"",ROUND(VLOOKUP(VLOOKUP(B15,Operations[],11,FALSE),PowerUnits[],16,FALSE)/VLOOKUP(B15,Operations[],9,FALSE)*C15,2)))</f>
        <v>0</v>
      </c>
      <c r="J15" s="84" t="str">
        <f>IF(B15=0,"",IF(C15&gt;9999,"",ROUND(VLOOKUP($B15,Operations[],21,FALSE)*$C15,2)))</f>
        <v/>
      </c>
      <c r="K15" s="84">
        <f t="shared" si="0"/>
        <v>0</v>
      </c>
      <c r="L15" s="95"/>
    </row>
    <row r="16" spans="1:15" hidden="1">
      <c r="A16" s="94">
        <v>10</v>
      </c>
      <c r="B16" s="254"/>
      <c r="C16" s="133"/>
      <c r="D16" s="257"/>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5"/>
    </row>
    <row r="17" spans="1:12" hidden="1">
      <c r="A17" s="94">
        <v>11</v>
      </c>
      <c r="B17" s="254"/>
      <c r="C17" s="133"/>
      <c r="D17" s="257"/>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5"/>
    </row>
    <row r="18" spans="1:12" hidden="1">
      <c r="A18" s="94">
        <v>12</v>
      </c>
      <c r="B18" s="254"/>
      <c r="C18" s="133"/>
      <c r="D18" s="257"/>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5"/>
    </row>
    <row r="19" spans="1:12" hidden="1">
      <c r="A19" s="94">
        <v>13</v>
      </c>
      <c r="B19" s="254"/>
      <c r="C19" s="133"/>
      <c r="D19" s="257"/>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5"/>
    </row>
    <row r="20" spans="1:12" hidden="1">
      <c r="A20" s="94">
        <v>14</v>
      </c>
      <c r="B20" s="255"/>
      <c r="C20" s="134"/>
      <c r="D20" s="257"/>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5"/>
    </row>
    <row r="21" spans="1:12" hidden="1">
      <c r="A21" s="94">
        <v>15</v>
      </c>
      <c r="B21" s="255"/>
      <c r="C21" s="134"/>
      <c r="D21" s="257"/>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5"/>
    </row>
    <row r="22" spans="1:12" hidden="1">
      <c r="A22" s="94">
        <v>16</v>
      </c>
      <c r="B22" s="255"/>
      <c r="C22" s="134"/>
      <c r="D22" s="257"/>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5"/>
    </row>
    <row r="23" spans="1:12" hidden="1">
      <c r="A23" s="94">
        <v>17</v>
      </c>
      <c r="B23" s="255"/>
      <c r="C23" s="134"/>
      <c r="D23" s="257"/>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5"/>
    </row>
    <row r="24" spans="1:12" hidden="1">
      <c r="A24" s="94">
        <v>18</v>
      </c>
      <c r="B24" s="255"/>
      <c r="C24" s="134"/>
      <c r="D24" s="257"/>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5"/>
    </row>
    <row r="25" spans="1:12" hidden="1">
      <c r="A25" s="94">
        <v>19</v>
      </c>
      <c r="B25" s="255"/>
      <c r="C25" s="134"/>
      <c r="D25" s="257"/>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6"/>
    </row>
    <row r="26" spans="1:12" hidden="1">
      <c r="A26" s="94">
        <v>20</v>
      </c>
      <c r="B26" s="255"/>
      <c r="C26" s="134"/>
      <c r="D26" s="257"/>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7"/>
    </row>
    <row r="27" spans="1:12" ht="3" customHeight="1" thickBot="1">
      <c r="A27" s="94"/>
      <c r="B27" s="97"/>
      <c r="C27" s="98"/>
      <c r="D27" s="98"/>
      <c r="E27" s="86"/>
      <c r="F27" s="86"/>
      <c r="G27" s="86"/>
      <c r="H27" s="86"/>
      <c r="I27" s="86"/>
      <c r="J27" s="86"/>
      <c r="K27" s="86"/>
      <c r="L27" s="99"/>
    </row>
    <row r="28" spans="1:12" ht="13.5" thickTop="1">
      <c r="C28" s="100" t="s">
        <v>95</v>
      </c>
      <c r="D28" s="100"/>
      <c r="E28" s="83">
        <f>SUM(E7:E26)</f>
        <v>7.5</v>
      </c>
      <c r="F28" s="83">
        <f t="shared" ref="F28:K28" si="1">SUM(F7:F26)</f>
        <v>115.23</v>
      </c>
      <c r="G28" s="83">
        <f t="shared" si="1"/>
        <v>5.88</v>
      </c>
      <c r="H28" s="83">
        <f t="shared" si="1"/>
        <v>20.75</v>
      </c>
      <c r="I28" s="83">
        <f t="shared" si="1"/>
        <v>16.18</v>
      </c>
      <c r="J28" s="83">
        <f t="shared" si="1"/>
        <v>12.41</v>
      </c>
      <c r="K28" s="83">
        <f t="shared" si="1"/>
        <v>177.95000000000002</v>
      </c>
      <c r="L28" s="95"/>
    </row>
    <row r="30" spans="1:12" ht="24" customHeight="1" thickBot="1">
      <c r="B30" s="87"/>
      <c r="C30" s="87"/>
      <c r="D30" s="87"/>
      <c r="E30" s="87"/>
      <c r="F30" s="263" t="s">
        <v>109</v>
      </c>
      <c r="G30" s="263" t="s">
        <v>106</v>
      </c>
      <c r="H30" s="262" t="s">
        <v>110</v>
      </c>
      <c r="I30" s="262"/>
      <c r="J30" s="263" t="s">
        <v>81</v>
      </c>
      <c r="L30" s="262" t="s">
        <v>438</v>
      </c>
    </row>
    <row r="31" spans="1:12" s="101" customFormat="1" ht="14.25" thickTop="1" thickBot="1">
      <c r="B31" s="102" t="s">
        <v>105</v>
      </c>
      <c r="C31" s="92"/>
      <c r="D31" s="92"/>
      <c r="E31" s="92"/>
      <c r="F31" s="263"/>
      <c r="G31" s="263"/>
      <c r="H31" s="92" t="s">
        <v>111</v>
      </c>
      <c r="I31" s="92" t="s">
        <v>89</v>
      </c>
      <c r="J31" s="263"/>
      <c r="K31" s="92" t="s">
        <v>107</v>
      </c>
      <c r="L31" s="263"/>
    </row>
    <row r="32" spans="1:12" ht="13.5" thickTop="1">
      <c r="A32" s="1"/>
      <c r="B32" s="255" t="s">
        <v>14</v>
      </c>
      <c r="C32" s="266" t="str">
        <f>IF(B32=0,"",VLOOKUP($B32,Materials[],2,FALSE))</f>
        <v>Fertilizer</v>
      </c>
      <c r="D32" s="266"/>
      <c r="E32" s="266"/>
      <c r="F32" s="134">
        <v>1</v>
      </c>
      <c r="G32" s="140">
        <v>1</v>
      </c>
      <c r="H32" s="139">
        <v>220</v>
      </c>
      <c r="I32" s="103" t="str">
        <f>IF($B32=0,"",VLOOKUP($B32,Materials[],5,FALSE))</f>
        <v>lbs N</v>
      </c>
      <c r="J32" s="104">
        <f>IF($B32=0,"",VLOOKUP($B32,Materials[],7,FALSE))</f>
        <v>0.70000000000000007</v>
      </c>
      <c r="K32" s="83">
        <f>IF(B32=0,0,ROUND(G32*H32*J32,2))</f>
        <v>154</v>
      </c>
      <c r="L32" s="95"/>
    </row>
    <row r="33" spans="1:12">
      <c r="A33" s="1"/>
      <c r="B33" s="255" t="s">
        <v>38</v>
      </c>
      <c r="C33" s="266" t="str">
        <f>IF(B33=0,"",VLOOKUP($B33,Materials[],2,FALSE))</f>
        <v>Other</v>
      </c>
      <c r="D33" s="266"/>
      <c r="E33" s="266"/>
      <c r="F33" s="134"/>
      <c r="G33" s="140">
        <v>1</v>
      </c>
      <c r="H33" s="139">
        <v>1</v>
      </c>
      <c r="I33" s="103" t="str">
        <f>IF($B33=0,"",VLOOKUP($B33,Materials[],5,FALSE))</f>
        <v>acre</v>
      </c>
      <c r="J33" s="104">
        <f>IF($B33=0,"",VLOOKUP($B33,Materials[],7,FALSE))</f>
        <v>2</v>
      </c>
      <c r="K33" s="83">
        <f t="shared" ref="K33:K51" si="2">IF(B33=0,0,ROUND(G33*H33*J33,2))</f>
        <v>2</v>
      </c>
      <c r="L33" s="95"/>
    </row>
    <row r="34" spans="1:12">
      <c r="A34" s="1"/>
      <c r="B34" s="255" t="s">
        <v>38</v>
      </c>
      <c r="C34" s="266" t="str">
        <f>IF(B34=0,"",VLOOKUP($B34,Materials[],2,FALSE))</f>
        <v>Other</v>
      </c>
      <c r="D34" s="266"/>
      <c r="E34" s="266"/>
      <c r="F34" s="134"/>
      <c r="G34" s="140">
        <v>1</v>
      </c>
      <c r="H34" s="139">
        <v>1</v>
      </c>
      <c r="I34" s="103" t="str">
        <f>IF($B34=0,"",VLOOKUP($B34,Materials[],5,FALSE))</f>
        <v>acre</v>
      </c>
      <c r="J34" s="104">
        <f>IF($B34=0,"",VLOOKUP($B34,Materials[],7,FALSE))</f>
        <v>2</v>
      </c>
      <c r="K34" s="83">
        <f t="shared" si="2"/>
        <v>2</v>
      </c>
      <c r="L34" s="95"/>
    </row>
    <row r="35" spans="1:12">
      <c r="A35" s="1"/>
      <c r="B35" s="255" t="s">
        <v>53</v>
      </c>
      <c r="C35" s="266" t="str">
        <f>IF(B35=0,"",VLOOKUP($B35,Materials[],2,FALSE))</f>
        <v>Other</v>
      </c>
      <c r="D35" s="266"/>
      <c r="E35" s="266"/>
      <c r="F35" s="134"/>
      <c r="G35" s="140">
        <v>1</v>
      </c>
      <c r="H35" s="139">
        <v>1</v>
      </c>
      <c r="I35" s="103" t="str">
        <f>IF($B35=0,"",VLOOKUP($B35,Materials[],5,FALSE))</f>
        <v>hour</v>
      </c>
      <c r="J35" s="104">
        <f>IF($B35=0,"",VLOOKUP($B35,Materials[],7,FALSE))</f>
        <v>12</v>
      </c>
      <c r="K35" s="83">
        <f t="shared" si="2"/>
        <v>12</v>
      </c>
      <c r="L35" s="95"/>
    </row>
    <row r="36" spans="1:12" hidden="1">
      <c r="A36" s="1"/>
      <c r="B36" s="254"/>
      <c r="C36" s="266" t="str">
        <f>IF(B36=0,"",VLOOKUP($B36,Materials[],2,FALSE))</f>
        <v/>
      </c>
      <c r="D36" s="266"/>
      <c r="E36" s="266"/>
      <c r="F36" s="133"/>
      <c r="G36" s="136"/>
      <c r="H36" s="138"/>
      <c r="I36" s="103" t="str">
        <f>IF($B36=0,"",VLOOKUP($B36,Materials[],5,FALSE))</f>
        <v/>
      </c>
      <c r="J36" s="104" t="str">
        <f>IF($B36=0,"",VLOOKUP($B36,Materials[],7,FALSE))</f>
        <v/>
      </c>
      <c r="K36" s="83">
        <f t="shared" si="2"/>
        <v>0</v>
      </c>
      <c r="L36" s="95"/>
    </row>
    <row r="37" spans="1:12" hidden="1">
      <c r="A37" s="1"/>
      <c r="B37" s="254"/>
      <c r="C37" s="266" t="str">
        <f>IF(B37=0,"",VLOOKUP($B37,Materials[],2,FALSE))</f>
        <v/>
      </c>
      <c r="D37" s="266"/>
      <c r="E37" s="266"/>
      <c r="F37" s="133"/>
      <c r="G37" s="136"/>
      <c r="H37" s="138"/>
      <c r="I37" s="103" t="str">
        <f>IF($B37=0,"",VLOOKUP($B37,Materials[],5,FALSE))</f>
        <v/>
      </c>
      <c r="J37" s="104" t="str">
        <f>IF($B37=0,"",VLOOKUP($B37,Materials[],7,FALSE))</f>
        <v/>
      </c>
      <c r="K37" s="83">
        <f t="shared" si="2"/>
        <v>0</v>
      </c>
      <c r="L37" s="95"/>
    </row>
    <row r="38" spans="1:12" hidden="1">
      <c r="A38" s="124"/>
      <c r="B38" s="254"/>
      <c r="C38" s="266" t="str">
        <f>IF(B38=0,"",VLOOKUP($B38,Materials[],2,FALSE))</f>
        <v/>
      </c>
      <c r="D38" s="266"/>
      <c r="E38" s="266"/>
      <c r="F38" s="133"/>
      <c r="G38" s="136"/>
      <c r="H38" s="137"/>
      <c r="I38" s="103" t="str">
        <f>IF($B38=0,"",VLOOKUP($B38,Materials[],5,FALSE))</f>
        <v/>
      </c>
      <c r="J38" s="104" t="str">
        <f>IF($B38=0,"",VLOOKUP($B38,Materials[],7,FALSE))</f>
        <v/>
      </c>
      <c r="K38" s="83">
        <f t="shared" si="2"/>
        <v>0</v>
      </c>
      <c r="L38" s="95"/>
    </row>
    <row r="39" spans="1:12" hidden="1">
      <c r="A39" s="124"/>
      <c r="B39" s="254"/>
      <c r="C39" s="266" t="str">
        <f>IF(B39=0,"",VLOOKUP($B39,Materials[],2,FALSE))</f>
        <v/>
      </c>
      <c r="D39" s="266"/>
      <c r="E39" s="266"/>
      <c r="F39" s="133"/>
      <c r="G39" s="136"/>
      <c r="H39" s="137"/>
      <c r="I39" s="103" t="str">
        <f>IF($B39=0,"",VLOOKUP($B39,Materials[],5,FALSE))</f>
        <v/>
      </c>
      <c r="J39" s="104" t="str">
        <f>IF($B39=0,"",VLOOKUP($B39,Materials[],7,FALSE))</f>
        <v/>
      </c>
      <c r="K39" s="83">
        <f t="shared" si="2"/>
        <v>0</v>
      </c>
      <c r="L39" s="95"/>
    </row>
    <row r="40" spans="1:12" hidden="1">
      <c r="A40" s="124"/>
      <c r="B40" s="254"/>
      <c r="C40" s="266" t="str">
        <f>IF(B40=0,"",VLOOKUP($B40,Materials[],2,FALSE))</f>
        <v/>
      </c>
      <c r="D40" s="266"/>
      <c r="E40" s="266"/>
      <c r="F40" s="133"/>
      <c r="G40" s="136"/>
      <c r="H40" s="137"/>
      <c r="I40" s="103" t="str">
        <f>IF($B40=0,"",VLOOKUP($B40,Materials[],5,FALSE))</f>
        <v/>
      </c>
      <c r="J40" s="104" t="str">
        <f>IF($B40=0,"",VLOOKUP($B40,Materials[],7,FALSE))</f>
        <v/>
      </c>
      <c r="K40" s="83">
        <f t="shared" si="2"/>
        <v>0</v>
      </c>
      <c r="L40" s="95"/>
    </row>
    <row r="41" spans="1:12" hidden="1">
      <c r="A41" s="124"/>
      <c r="B41" s="254"/>
      <c r="C41" s="266" t="str">
        <f>IF(B41=0,"",VLOOKUP($B41,Materials[],2,FALSE))</f>
        <v/>
      </c>
      <c r="D41" s="266"/>
      <c r="E41" s="266"/>
      <c r="F41" s="133"/>
      <c r="G41" s="136"/>
      <c r="H41" s="137"/>
      <c r="I41" s="103" t="str">
        <f>IF($B41=0,"",VLOOKUP($B41,Materials[],5,FALSE))</f>
        <v/>
      </c>
      <c r="J41" s="104" t="str">
        <f>IF($B41=0,"",VLOOKUP($B41,Materials[],7,FALSE))</f>
        <v/>
      </c>
      <c r="K41" s="83">
        <f t="shared" si="2"/>
        <v>0</v>
      </c>
      <c r="L41" s="95"/>
    </row>
    <row r="42" spans="1:12" hidden="1">
      <c r="A42" s="124"/>
      <c r="B42" s="254"/>
      <c r="C42" s="266" t="str">
        <f>IF(B42=0,"",VLOOKUP($B42,Materials[],2,FALSE))</f>
        <v/>
      </c>
      <c r="D42" s="266"/>
      <c r="E42" s="266"/>
      <c r="F42" s="133"/>
      <c r="G42" s="136"/>
      <c r="H42" s="137"/>
      <c r="I42" s="103" t="str">
        <f>IF($B42=0,"",VLOOKUP($B42,Materials[],5,FALSE))</f>
        <v/>
      </c>
      <c r="J42" s="104" t="str">
        <f>IF($B42=0,"",VLOOKUP($B42,Materials[],7,FALSE))</f>
        <v/>
      </c>
      <c r="K42" s="83">
        <f t="shared" si="2"/>
        <v>0</v>
      </c>
      <c r="L42" s="95"/>
    </row>
    <row r="43" spans="1:12" hidden="1">
      <c r="A43" s="1"/>
      <c r="B43" s="254"/>
      <c r="C43" s="266" t="str">
        <f>IF(B43=0,"",VLOOKUP($B43,Materials[],2,FALSE))</f>
        <v/>
      </c>
      <c r="D43" s="266"/>
      <c r="E43" s="266"/>
      <c r="F43" s="133"/>
      <c r="G43" s="136"/>
      <c r="H43" s="137"/>
      <c r="I43" s="103" t="str">
        <f>IF($B43=0,"",VLOOKUP($B43,Materials[],5,FALSE))</f>
        <v/>
      </c>
      <c r="J43" s="104" t="str">
        <f>IF($B43=0,"",VLOOKUP($B43,Materials[],7,FALSE))</f>
        <v/>
      </c>
      <c r="K43" s="83">
        <f t="shared" si="2"/>
        <v>0</v>
      </c>
      <c r="L43" s="95"/>
    </row>
    <row r="44" spans="1:12" hidden="1">
      <c r="A44" s="1"/>
      <c r="B44" s="254"/>
      <c r="C44" s="266" t="str">
        <f>IF(B44=0,"",VLOOKUP($B44,Materials[],2,FALSE))</f>
        <v/>
      </c>
      <c r="D44" s="266"/>
      <c r="E44" s="266"/>
      <c r="F44" s="133"/>
      <c r="G44" s="136"/>
      <c r="H44" s="137"/>
      <c r="I44" s="103" t="str">
        <f>IF($B44=0,"",VLOOKUP($B44,Materials[],5,FALSE))</f>
        <v/>
      </c>
      <c r="J44" s="104" t="str">
        <f>IF($B44=0,"",VLOOKUP($B44,Materials[],7,FALSE))</f>
        <v/>
      </c>
      <c r="K44" s="83">
        <f t="shared" si="2"/>
        <v>0</v>
      </c>
      <c r="L44" s="95"/>
    </row>
    <row r="45" spans="1:12" hidden="1">
      <c r="B45" s="255"/>
      <c r="C45" s="266" t="str">
        <f>IF(B45=0,"",VLOOKUP($B45,Materials[],2,FALSE))</f>
        <v/>
      </c>
      <c r="D45" s="266"/>
      <c r="E45" s="266"/>
      <c r="F45" s="134"/>
      <c r="G45" s="136"/>
      <c r="H45" s="139"/>
      <c r="I45" s="103" t="str">
        <f>IF($B45=0,"",VLOOKUP($B45,Materials[],5,FALSE))</f>
        <v/>
      </c>
      <c r="J45" s="104" t="str">
        <f>IF($B45=0,"",VLOOKUP($B45,Materials[],7,FALSE))</f>
        <v/>
      </c>
      <c r="K45" s="83">
        <f t="shared" si="2"/>
        <v>0</v>
      </c>
      <c r="L45" s="95"/>
    </row>
    <row r="46" spans="1:12" hidden="1">
      <c r="B46" s="255"/>
      <c r="C46" s="266" t="str">
        <f>IF(B46=0,"",VLOOKUP($B46,Materials[],2,FALSE))</f>
        <v/>
      </c>
      <c r="D46" s="266"/>
      <c r="E46" s="266"/>
      <c r="F46" s="134"/>
      <c r="G46" s="136"/>
      <c r="H46" s="139"/>
      <c r="I46" s="103" t="str">
        <f>IF($B46=0,"",VLOOKUP($B46,Materials[],5,FALSE))</f>
        <v/>
      </c>
      <c r="J46" s="104" t="str">
        <f>IF($B46=0,"",VLOOKUP($B46,Materials[],7,FALSE))</f>
        <v/>
      </c>
      <c r="K46" s="83">
        <f t="shared" si="2"/>
        <v>0</v>
      </c>
      <c r="L46" s="95"/>
    </row>
    <row r="47" spans="1:12" hidden="1">
      <c r="B47" s="255"/>
      <c r="C47" s="266" t="str">
        <f>IF(B47=0,"",VLOOKUP($B47,Materials[],2,FALSE))</f>
        <v/>
      </c>
      <c r="D47" s="266"/>
      <c r="E47" s="266"/>
      <c r="F47" s="134"/>
      <c r="G47" s="140"/>
      <c r="H47" s="139"/>
      <c r="I47" s="103" t="str">
        <f>IF($B47=0,"",VLOOKUP($B47,Materials[],5,FALSE))</f>
        <v/>
      </c>
      <c r="J47" s="104" t="str">
        <f>IF($B47=0,"",VLOOKUP($B47,Materials[],7,FALSE))</f>
        <v/>
      </c>
      <c r="K47" s="83">
        <f t="shared" si="2"/>
        <v>0</v>
      </c>
      <c r="L47" s="95"/>
    </row>
    <row r="48" spans="1:12" hidden="1">
      <c r="B48" s="255"/>
      <c r="C48" s="266" t="str">
        <f>IF(B48=0,"",VLOOKUP($B48,Materials[],2,FALSE))</f>
        <v/>
      </c>
      <c r="D48" s="266"/>
      <c r="E48" s="266"/>
      <c r="F48" s="134"/>
      <c r="G48" s="140"/>
      <c r="H48" s="139"/>
      <c r="I48" s="103" t="str">
        <f>IF($B48=0,"",VLOOKUP($B48,Materials[],5,FALSE))</f>
        <v/>
      </c>
      <c r="J48" s="104" t="str">
        <f>IF($B48=0,"",VLOOKUP($B48,Materials[],7,FALSE))</f>
        <v/>
      </c>
      <c r="K48" s="83">
        <f t="shared" si="2"/>
        <v>0</v>
      </c>
      <c r="L48" s="95"/>
    </row>
    <row r="49" spans="2:12" hidden="1">
      <c r="B49" s="255"/>
      <c r="C49" s="266" t="str">
        <f>IF(B49=0,"",VLOOKUP($B49,Materials[],2,FALSE))</f>
        <v/>
      </c>
      <c r="D49" s="266"/>
      <c r="E49" s="266"/>
      <c r="F49" s="134"/>
      <c r="G49" s="140"/>
      <c r="H49" s="139"/>
      <c r="I49" s="103" t="str">
        <f>IF($B49=0,"",VLOOKUP($B49,Materials[],5,FALSE))</f>
        <v/>
      </c>
      <c r="J49" s="104" t="str">
        <f>IF($B49=0,"",VLOOKUP($B49,Materials[],7,FALSE))</f>
        <v/>
      </c>
      <c r="K49" s="83">
        <f t="shared" si="2"/>
        <v>0</v>
      </c>
      <c r="L49" s="95"/>
    </row>
    <row r="50" spans="2:12" hidden="1">
      <c r="B50" s="255"/>
      <c r="C50" s="266" t="str">
        <f>IF(B50=0,"",VLOOKUP($B50,Materials[],2,FALSE))</f>
        <v/>
      </c>
      <c r="D50" s="266"/>
      <c r="E50" s="266"/>
      <c r="F50" s="134"/>
      <c r="G50" s="140"/>
      <c r="H50" s="139"/>
      <c r="I50" s="103" t="str">
        <f>IF($B50=0,"",VLOOKUP($B50,Materials[],5,FALSE))</f>
        <v/>
      </c>
      <c r="J50" s="104" t="str">
        <f>IF($B50=0,"",VLOOKUP($B50,Materials[],7,FALSE))</f>
        <v/>
      </c>
      <c r="K50" s="83">
        <f t="shared" si="2"/>
        <v>0</v>
      </c>
      <c r="L50" s="96"/>
    </row>
    <row r="51" spans="2:12" hidden="1">
      <c r="B51" s="255"/>
      <c r="C51" s="266" t="str">
        <f>IF(B51=0,"",VLOOKUP($B51,Materials[],2,FALSE))</f>
        <v/>
      </c>
      <c r="D51" s="266"/>
      <c r="E51" s="266"/>
      <c r="F51" s="134"/>
      <c r="G51" s="140"/>
      <c r="H51" s="139"/>
      <c r="I51" s="103" t="str">
        <f>IF($B51=0,"",VLOOKUP($B51,Materials[],5,FALSE))</f>
        <v/>
      </c>
      <c r="J51" s="104" t="str">
        <f>IF($B51=0,"",VLOOKUP($B51,Materials[],7,FALSE))</f>
        <v/>
      </c>
      <c r="K51" s="84">
        <f t="shared" si="2"/>
        <v>0</v>
      </c>
      <c r="L51" s="96"/>
    </row>
    <row r="52" spans="2:12" ht="3.75" customHeight="1" thickBot="1">
      <c r="B52" s="97"/>
      <c r="C52" s="105"/>
      <c r="D52" s="105"/>
      <c r="E52" s="105"/>
      <c r="F52" s="98"/>
      <c r="G52" s="106"/>
      <c r="H52" s="107"/>
      <c r="I52" s="108"/>
      <c r="J52" s="109"/>
      <c r="K52" s="86"/>
      <c r="L52" s="99"/>
    </row>
    <row r="53" spans="2:12" ht="13.5" thickTop="1">
      <c r="C53" s="100" t="s">
        <v>108</v>
      </c>
      <c r="D53" s="100"/>
      <c r="J53" s="83"/>
      <c r="K53" s="83">
        <f>SUM(K32:K51)</f>
        <v>170</v>
      </c>
      <c r="L53" s="95"/>
    </row>
    <row r="54" spans="2:12">
      <c r="B54" s="125"/>
    </row>
    <row r="55" spans="2:12">
      <c r="B55" s="90" t="s">
        <v>112</v>
      </c>
      <c r="K55" s="83">
        <f>K28+K53</f>
        <v>347.95000000000005</v>
      </c>
      <c r="L55" s="95"/>
    </row>
    <row r="56" spans="2:12" ht="13.5" thickBot="1">
      <c r="D56" s="110" t="s">
        <v>439</v>
      </c>
      <c r="E56" s="111">
        <f>SUM($E$28:$H$28)+$K$53</f>
        <v>319.36</v>
      </c>
      <c r="F56" s="268" t="s">
        <v>440</v>
      </c>
      <c r="G56" s="268"/>
      <c r="H56" s="112">
        <f>'General Variables'!$B$9</f>
        <v>0.08</v>
      </c>
      <c r="I56" s="113" t="str">
        <f>CONCATENATE("for ",TEXT('General Variables'!$B$10,"0.0")," mo.")</f>
        <v>for 6.0 mo.</v>
      </c>
      <c r="K56" s="114">
        <f>ROUND(E56*H56*'General Variables'!$B$10/12,2)</f>
        <v>12.77</v>
      </c>
      <c r="L56" s="115"/>
    </row>
    <row r="57" spans="2:12" ht="13.5" thickTop="1">
      <c r="B57" s="90" t="s">
        <v>444</v>
      </c>
      <c r="K57" s="83">
        <f>SUM(K55:K56)</f>
        <v>360.72</v>
      </c>
      <c r="L57" s="95"/>
    </row>
    <row r="59" spans="2:12">
      <c r="B59" s="116" t="s">
        <v>487</v>
      </c>
      <c r="C59" s="117"/>
      <c r="D59" s="117"/>
      <c r="E59" s="117"/>
      <c r="F59" s="117"/>
      <c r="G59" s="117"/>
      <c r="H59" s="117"/>
      <c r="I59" s="117"/>
      <c r="J59" s="117"/>
      <c r="K59" s="118">
        <f>'General Variables'!B12</f>
        <v>5</v>
      </c>
      <c r="L59" s="95"/>
    </row>
    <row r="60" spans="2:12">
      <c r="B60" s="39" t="s">
        <v>447</v>
      </c>
      <c r="C60" s="269" t="s">
        <v>453</v>
      </c>
      <c r="D60" s="270"/>
      <c r="E60" s="271"/>
      <c r="F60" s="119">
        <f>IF(C60=0,0,VLOOKUP(C60,RETable,2,FALSE))</f>
        <v>4343</v>
      </c>
      <c r="G60" s="268" t="s">
        <v>448</v>
      </c>
      <c r="H60" s="268"/>
      <c r="I60" s="112">
        <f>'General Variables'!$B$8</f>
        <v>0.04</v>
      </c>
      <c r="K60" s="120">
        <f>ROUND(F60*I60,2)</f>
        <v>173.72</v>
      </c>
      <c r="L60" s="95"/>
    </row>
    <row r="61" spans="2:12" ht="13.5" thickBot="1">
      <c r="B61" s="39" t="s">
        <v>458</v>
      </c>
      <c r="F61" s="121">
        <f>IF(C60=0,0,VLOOKUP(C60,RETable,2,FALSE))</f>
        <v>4343</v>
      </c>
      <c r="G61" s="267" t="s">
        <v>448</v>
      </c>
      <c r="H61" s="267"/>
      <c r="I61" s="122">
        <f>'General Variables'!$B$11</f>
        <v>0.01</v>
      </c>
      <c r="J61" s="1"/>
      <c r="K61" s="123">
        <f>ROUND(F61*I61,2)</f>
        <v>43.43</v>
      </c>
      <c r="L61" s="115"/>
    </row>
    <row r="62" spans="2:12" ht="13.5" thickTop="1">
      <c r="B62" s="90" t="s">
        <v>472</v>
      </c>
      <c r="K62" s="83">
        <f>SUM(K57:K61)</f>
        <v>582.87</v>
      </c>
      <c r="L62" s="95"/>
    </row>
    <row r="64" spans="2:12">
      <c r="B64" s="90" t="str">
        <f>"Cost per "&amp;$B$3</f>
        <v>Cost per AUM</v>
      </c>
      <c r="K64" s="83">
        <f>IF(A3="Yield",0,K62/$A$3)</f>
        <v>52.988181818181822</v>
      </c>
      <c r="L64" s="95"/>
    </row>
    <row r="65" spans="2:12">
      <c r="B65" s="55" t="str">
        <f>"Cash Cost per "&amp;$B$3</f>
        <v>Cash Cost per AUM</v>
      </c>
      <c r="C65" s="1"/>
      <c r="D65" s="1"/>
      <c r="E65" s="1"/>
      <c r="F65" s="1"/>
      <c r="G65" s="1"/>
      <c r="H65" s="1"/>
      <c r="I65" s="1"/>
      <c r="J65" s="1"/>
      <c r="K65" s="24">
        <f>IF($A$3="Yield",0,(E56+K56+K61)/$A$3)</f>
        <v>34.141818181818181</v>
      </c>
      <c r="L65" s="126"/>
    </row>
    <row r="75" spans="2:12">
      <c r="B75" s="88"/>
      <c r="C75" s="88"/>
      <c r="D75" s="88"/>
    </row>
    <row r="76" spans="2:12">
      <c r="B76" s="88"/>
      <c r="C76" s="88"/>
      <c r="D76" s="88"/>
    </row>
    <row r="77" spans="2:12">
      <c r="B77" s="88"/>
      <c r="C77" s="88"/>
      <c r="D77" s="88"/>
    </row>
    <row r="78" spans="2:12">
      <c r="B78" s="88"/>
      <c r="C78" s="88"/>
      <c r="D78" s="88"/>
    </row>
    <row r="79" spans="2:12">
      <c r="B79" s="88"/>
      <c r="C79" s="88"/>
      <c r="D79" s="88"/>
    </row>
    <row r="80" spans="2:12">
      <c r="B80" s="88"/>
      <c r="C80" s="88"/>
      <c r="D80" s="88"/>
    </row>
    <row r="81" spans="2:4">
      <c r="B81" s="88"/>
      <c r="C81" s="88"/>
      <c r="D81" s="88"/>
    </row>
    <row r="82" spans="2:4">
      <c r="B82" s="88"/>
      <c r="C82" s="88"/>
      <c r="D82" s="88"/>
    </row>
    <row r="83" spans="2:4">
      <c r="B83" s="88"/>
      <c r="C83" s="88"/>
      <c r="D83" s="88"/>
    </row>
    <row r="84" spans="2:4">
      <c r="B84" s="88"/>
      <c r="C84" s="88"/>
      <c r="D84" s="88"/>
    </row>
    <row r="85" spans="2:4">
      <c r="B85" s="88"/>
      <c r="C85" s="88"/>
      <c r="D85" s="88"/>
    </row>
    <row r="86" spans="2:4">
      <c r="B86" s="88"/>
      <c r="C86" s="88"/>
      <c r="D86" s="88"/>
    </row>
    <row r="87" spans="2:4">
      <c r="B87" s="88"/>
      <c r="C87" s="88"/>
      <c r="D87" s="88"/>
    </row>
    <row r="88" spans="2:4">
      <c r="B88" s="88"/>
      <c r="C88" s="88"/>
      <c r="D88" s="88"/>
    </row>
    <row r="89" spans="2:4">
      <c r="B89" s="88"/>
      <c r="C89" s="88"/>
      <c r="D89" s="88"/>
    </row>
    <row r="90" spans="2:4">
      <c r="B90" s="88"/>
      <c r="C90" s="88"/>
      <c r="D90" s="88"/>
    </row>
    <row r="91" spans="2:4">
      <c r="B91" s="88"/>
      <c r="C91" s="88"/>
      <c r="D91" s="88"/>
    </row>
    <row r="92" spans="2:4">
      <c r="B92" s="88"/>
      <c r="C92" s="88"/>
      <c r="D92" s="88"/>
    </row>
    <row r="93" spans="2:4">
      <c r="B93" s="88"/>
      <c r="C93" s="88"/>
      <c r="D93" s="88"/>
    </row>
    <row r="94" spans="2:4">
      <c r="B94" s="88"/>
      <c r="C94" s="88"/>
      <c r="D94" s="88"/>
    </row>
    <row r="95" spans="2:4">
      <c r="B95" s="88"/>
      <c r="C95" s="88"/>
      <c r="D95" s="88"/>
    </row>
    <row r="96" spans="2:4">
      <c r="B96" s="88"/>
      <c r="C96" s="88"/>
      <c r="D96" s="88"/>
    </row>
    <row r="97" spans="2:6">
      <c r="B97" s="88"/>
      <c r="C97" s="88"/>
      <c r="D97" s="88"/>
    </row>
    <row r="98" spans="2:6">
      <c r="B98" s="88"/>
      <c r="C98" s="88"/>
      <c r="D98" s="88"/>
    </row>
    <row r="99" spans="2:6">
      <c r="B99" s="88"/>
      <c r="C99" s="88"/>
      <c r="D99" s="88"/>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Title</vt:lpstr>
      <vt:lpstr>General Variables</vt:lpstr>
      <vt:lpstr>Power Units</vt:lpstr>
      <vt:lpstr>Operations</vt:lpstr>
      <vt:lpstr>Materials</vt:lpstr>
      <vt:lpstr>28-Grass</vt:lpstr>
      <vt:lpstr>29-Grass Hay</vt:lpstr>
      <vt:lpstr>30-Oats</vt:lpstr>
      <vt:lpstr>31-Pasture</vt:lpstr>
      <vt:lpstr>32-Millet</vt:lpstr>
      <vt:lpstr>33-Sorghum-Sudan</vt:lpstr>
      <vt:lpstr>Formulas</vt:lpstr>
      <vt:lpstr>Master</vt:lpstr>
      <vt:lpstr>Depreciation Graph</vt:lpstr>
      <vt:lpstr>Sheet1</vt:lpstr>
      <vt:lpstr>ImpDepLookup</vt:lpstr>
      <vt:lpstr>'28-Grass'!Print_Area</vt:lpstr>
      <vt:lpstr>'29-Grass Hay'!Print_Area</vt:lpstr>
      <vt:lpstr>'30-Oats'!Print_Area</vt:lpstr>
      <vt:lpstr>'31-Pasture'!Print_Area</vt:lpstr>
      <vt:lpstr>'32-Millet'!Print_Area</vt:lpstr>
      <vt:lpstr>'33-Sorghum-Sudan'!Print_Area</vt:lpstr>
      <vt:lpstr>Master!Print_Area</vt:lpstr>
      <vt:lpstr>Materials!Print_Area</vt:lpstr>
      <vt:lpstr>Operations!Print_Area</vt:lpstr>
      <vt:lpstr>'Depreciation Graph'!PwrDepreciation</vt:lpstr>
      <vt:lpstr>PwrDepreciation</vt:lpstr>
      <vt:lpstr>PwrUnit</vt:lpstr>
      <vt:lpstr>RETable</vt:lpstr>
      <vt:lpstr>REValue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2011-03-29T21:03:48Z</cp:lastPrinted>
  <dcterms:created xsi:type="dcterms:W3CDTF">2009-07-27T21:13:45Z</dcterms:created>
  <dcterms:modified xsi:type="dcterms:W3CDTF">2011-04-20T21:07:53Z</dcterms:modified>
</cp:coreProperties>
</file>