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6\Individual Crops\"/>
    </mc:Choice>
  </mc:AlternateContent>
  <bookViews>
    <workbookView xWindow="0" yWindow="0" windowWidth="19200" windowHeight="12165"/>
  </bookViews>
  <sheets>
    <sheet name="Title" sheetId="110" r:id="rId1"/>
    <sheet name="General Variables" sheetId="49" r:id="rId2"/>
    <sheet name="Power Units" sheetId="48" state="hidden" r:id="rId3"/>
    <sheet name="Materials" sheetId="2" r:id="rId4"/>
    <sheet name="Operations" sheetId="1" state="hidden" r:id="rId5"/>
    <sheet name="Start" sheetId="145" state="hidden" r:id="rId6"/>
    <sheet name="65-Wheat" sheetId="103" r:id="rId7"/>
    <sheet name="66-Wheat" sheetId="113" r:id="rId8"/>
    <sheet name="67-Wheat" sheetId="104" r:id="rId9"/>
    <sheet name="68-Wheat" sheetId="105" r:id="rId10"/>
    <sheet name="69-Wheat" sheetId="106" r:id="rId11"/>
    <sheet name="70-Wheat" sheetId="107" r:id="rId12"/>
    <sheet name="71-Wheat" sheetId="131" r:id="rId13"/>
    <sheet name="Stop" sheetId="146" state="hidden" r:id="rId14"/>
  </sheets>
  <externalReferences>
    <externalReference r:id="rId15"/>
  </externalReferences>
  <definedNames>
    <definedName name="_xlnm._FilterDatabase" localSheetId="4" hidden="1">Operations!$A$1:$B$102</definedName>
    <definedName name="CommodityPrices">#REF!</definedName>
    <definedName name="CropInsurance">'General Variables'!$A$18:$B$33</definedName>
    <definedName name="Dryland">#REF!</definedName>
    <definedName name="ImpDepLookup">Operations!$AE$2:$AH$11</definedName>
    <definedName name="InputPrices">#REF!</definedName>
    <definedName name="Irrigated">#REF!</definedName>
    <definedName name="MaterialList">Table2[Material]</definedName>
    <definedName name="Materials">Table2[]</definedName>
    <definedName name="OperationList">Table3[Op Name]</definedName>
    <definedName name="pd">Table1[[Machine]:[ C3 ]]</definedName>
    <definedName name="perpound">[1]Calculations!#REF!</definedName>
    <definedName name="_xlnm.Print_Area" localSheetId="6">'65-Wheat'!$A$2:$L$75</definedName>
    <definedName name="_xlnm.Print_Area" localSheetId="7">'66-Wheat'!$A$2:$L$75</definedName>
    <definedName name="_xlnm.Print_Area" localSheetId="8">'67-Wheat'!$A$2:$L$75</definedName>
    <definedName name="_xlnm.Print_Area" localSheetId="9">'68-Wheat'!$A$2:$L$75</definedName>
    <definedName name="_xlnm.Print_Area" localSheetId="10">'69-Wheat'!$A$2:$L$75</definedName>
    <definedName name="_xlnm.Print_Area" localSheetId="11">'70-Wheat'!$A$2:$L$75</definedName>
    <definedName name="_xlnm.Print_Area" localSheetId="12">'71-Wheat'!$A$2:$L$75</definedName>
    <definedName name="_xlnm.Print_Area" localSheetId="1">'General Variables'!$A$1:$I$63</definedName>
    <definedName name="_xlnm.Print_Area" localSheetId="3">Materials!$B$1:$H$112</definedName>
    <definedName name="_xlnm.Print_Area" localSheetId="4">Operations!$A$1:$J$2</definedName>
    <definedName name="_xlnm.Print_Area" localSheetId="0">Title!$A$1:$O$59</definedName>
    <definedName name="PwrDepreciation" localSheetId="12">Table1[[Machine]:[ C3 ]]</definedName>
    <definedName name="PwrDepreciation">Table1[[Machine]:[ C3 ]]</definedName>
    <definedName name="PwrUnit">Operations!$AO$1:$AO$11</definedName>
    <definedName name="RealEstateList">Table9[Description]</definedName>
    <definedName name="RETable" localSheetId="12">Table9[#All]</definedName>
    <definedName name="RETable">Table9[#All]</definedName>
    <definedName name="REValue">'General Variables'!$E$5:$F$15</definedName>
  </definedNames>
  <calcPr calcId="152511"/>
</workbook>
</file>

<file path=xl/calcChain.xml><?xml version="1.0" encoding="utf-8"?>
<calcChain xmlns="http://schemas.openxmlformats.org/spreadsheetml/2006/main">
  <c r="H48" i="105" l="1"/>
  <c r="A2" i="103" l="1"/>
  <c r="A7" i="103" s="1"/>
  <c r="A2" i="113"/>
  <c r="A7" i="113" s="1"/>
  <c r="A2" i="104"/>
  <c r="A7" i="104" s="1"/>
  <c r="A2" i="105"/>
  <c r="A7" i="105" s="1"/>
  <c r="A2" i="106"/>
  <c r="A7" i="106" s="1"/>
  <c r="A2" i="107"/>
  <c r="A7" i="107" s="1"/>
  <c r="A2" i="131"/>
  <c r="A7" i="131" s="1"/>
  <c r="A5" i="103" l="1"/>
  <c r="A5" i="131"/>
  <c r="A5" i="106"/>
  <c r="A5" i="105"/>
  <c r="A5" i="104"/>
  <c r="A5" i="107"/>
  <c r="A5" i="113"/>
  <c r="F71" i="105"/>
  <c r="F70" i="105"/>
  <c r="F71" i="104"/>
  <c r="F70" i="104"/>
  <c r="F71" i="113"/>
  <c r="F70" i="113"/>
  <c r="H52" i="131" l="1"/>
  <c r="C52" i="131"/>
  <c r="C15" i="131" l="1"/>
  <c r="C13" i="107"/>
  <c r="A8" i="103"/>
  <c r="A8" i="113"/>
  <c r="A8" i="104"/>
  <c r="A8" i="105"/>
  <c r="A8" i="106"/>
  <c r="A8" i="107"/>
  <c r="A8" i="131"/>
  <c r="F13" i="49" l="1"/>
  <c r="N3" i="1" l="1"/>
  <c r="P3" i="1" s="1"/>
  <c r="S3" i="1" s="1"/>
  <c r="T3" i="1"/>
  <c r="N4" i="1"/>
  <c r="P4" i="1" s="1"/>
  <c r="T4" i="1" s="1"/>
  <c r="N5" i="1"/>
  <c r="P5" i="1" s="1"/>
  <c r="S5" i="1" s="1"/>
  <c r="N6" i="1"/>
  <c r="P6" i="1" s="1"/>
  <c r="S6" i="1" s="1"/>
  <c r="O6" i="1"/>
  <c r="Q6" i="1"/>
  <c r="N7" i="1"/>
  <c r="P7" i="1" s="1"/>
  <c r="O7" i="1"/>
  <c r="S7" i="1"/>
  <c r="T7" i="1"/>
  <c r="N8" i="1"/>
  <c r="P8" i="1" s="1"/>
  <c r="T8" i="1" s="1"/>
  <c r="O8" i="1"/>
  <c r="Q8" i="1"/>
  <c r="R8" i="1" s="1"/>
  <c r="N9" i="1"/>
  <c r="P9" i="1" s="1"/>
  <c r="O9" i="1"/>
  <c r="N10" i="1"/>
  <c r="P10" i="1" s="1"/>
  <c r="Q10" i="1"/>
  <c r="R10" i="1" s="1"/>
  <c r="S10" i="1"/>
  <c r="T10" i="1"/>
  <c r="N11" i="1"/>
  <c r="P11" i="1" s="1"/>
  <c r="T11" i="1" s="1"/>
  <c r="N12" i="1"/>
  <c r="P12" i="1" s="1"/>
  <c r="S12" i="1" s="1"/>
  <c r="N13" i="1"/>
  <c r="P13" i="1" s="1"/>
  <c r="S13" i="1" s="1"/>
  <c r="O13" i="1"/>
  <c r="N14" i="1"/>
  <c r="P14" i="1" s="1"/>
  <c r="S14" i="1" s="1"/>
  <c r="O14" i="1"/>
  <c r="Q14" i="1"/>
  <c r="N15" i="1"/>
  <c r="P15" i="1" s="1"/>
  <c r="S15" i="1" s="1"/>
  <c r="O15" i="1"/>
  <c r="N16" i="1"/>
  <c r="P16" i="1" s="1"/>
  <c r="T16" i="1" s="1"/>
  <c r="N17" i="1"/>
  <c r="P17" i="1" s="1"/>
  <c r="T17" i="1" s="1"/>
  <c r="O17" i="1"/>
  <c r="Q17" i="1"/>
  <c r="R17" i="1" s="1"/>
  <c r="S17" i="1"/>
  <c r="N18" i="1"/>
  <c r="P18" i="1" s="1"/>
  <c r="S18" i="1" s="1"/>
  <c r="Q18" i="1"/>
  <c r="N19" i="1"/>
  <c r="P19" i="1" s="1"/>
  <c r="S19" i="1" s="1"/>
  <c r="N20" i="1"/>
  <c r="P20" i="1" s="1"/>
  <c r="T20" i="1" s="1"/>
  <c r="N21" i="1"/>
  <c r="P21" i="1" s="1"/>
  <c r="S21" i="1" s="1"/>
  <c r="O21" i="1"/>
  <c r="N22" i="1"/>
  <c r="P22" i="1" s="1"/>
  <c r="S22" i="1" s="1"/>
  <c r="N23" i="1"/>
  <c r="P23" i="1" s="1"/>
  <c r="S23" i="1" s="1"/>
  <c r="N24" i="1"/>
  <c r="P24" i="1" s="1"/>
  <c r="T24" i="1" s="1"/>
  <c r="O24" i="1"/>
  <c r="Q24" i="1"/>
  <c r="S24" i="1"/>
  <c r="N25" i="1"/>
  <c r="P25" i="1" s="1"/>
  <c r="O25" i="1"/>
  <c r="S25" i="1"/>
  <c r="T25" i="1"/>
  <c r="N26" i="1"/>
  <c r="P26" i="1" s="1"/>
  <c r="S26" i="1" s="1"/>
  <c r="N27" i="1"/>
  <c r="P27" i="1" s="1"/>
  <c r="T27" i="1" s="1"/>
  <c r="O27" i="1"/>
  <c r="N28" i="1"/>
  <c r="P28" i="1" s="1"/>
  <c r="S28" i="1" s="1"/>
  <c r="N29" i="1"/>
  <c r="P29" i="1" s="1"/>
  <c r="S29" i="1" s="1"/>
  <c r="O29" i="1"/>
  <c r="N30" i="1"/>
  <c r="P30" i="1" s="1"/>
  <c r="S30" i="1" s="1"/>
  <c r="O30" i="1"/>
  <c r="N31" i="1"/>
  <c r="P31" i="1" s="1"/>
  <c r="S31" i="1" s="1"/>
  <c r="O31" i="1"/>
  <c r="N32" i="1"/>
  <c r="P32" i="1" s="1"/>
  <c r="T32" i="1" s="1"/>
  <c r="O32" i="1"/>
  <c r="Q32" i="1"/>
  <c r="R32" i="1"/>
  <c r="S32" i="1"/>
  <c r="N33" i="1"/>
  <c r="P33" i="1" s="1"/>
  <c r="S33" i="1" s="1"/>
  <c r="O33" i="1"/>
  <c r="N34" i="1"/>
  <c r="P34" i="1" s="1"/>
  <c r="S34" i="1" s="1"/>
  <c r="O34" i="1"/>
  <c r="N35" i="1"/>
  <c r="P35" i="1" s="1"/>
  <c r="S35" i="1" s="1"/>
  <c r="N36" i="1"/>
  <c r="P36" i="1" s="1"/>
  <c r="T36" i="1" s="1"/>
  <c r="N37" i="1"/>
  <c r="P37" i="1" s="1"/>
  <c r="S37" i="1" s="1"/>
  <c r="O37" i="1"/>
  <c r="N38" i="1"/>
  <c r="P38" i="1" s="1"/>
  <c r="S38" i="1" s="1"/>
  <c r="O38" i="1"/>
  <c r="Q38" i="1"/>
  <c r="N39" i="1"/>
  <c r="P39" i="1" s="1"/>
  <c r="S39" i="1" s="1"/>
  <c r="O39" i="1"/>
  <c r="Q39" i="1"/>
  <c r="R39" i="1" s="1"/>
  <c r="N40" i="1"/>
  <c r="P40" i="1" s="1"/>
  <c r="T40" i="1" s="1"/>
  <c r="O40" i="1"/>
  <c r="N41" i="1"/>
  <c r="P41" i="1" s="1"/>
  <c r="S41" i="1" s="1"/>
  <c r="O41" i="1"/>
  <c r="N42" i="1"/>
  <c r="P42" i="1" s="1"/>
  <c r="N43" i="1"/>
  <c r="P43" i="1" s="1"/>
  <c r="S43" i="1" s="1"/>
  <c r="O43" i="1"/>
  <c r="N44" i="1"/>
  <c r="P44" i="1" s="1"/>
  <c r="T44" i="1" s="1"/>
  <c r="N45" i="1"/>
  <c r="P45" i="1" s="1"/>
  <c r="T45" i="1" s="1"/>
  <c r="O45" i="1"/>
  <c r="N46" i="1"/>
  <c r="P46" i="1" s="1"/>
  <c r="S46" i="1" s="1"/>
  <c r="O46" i="1"/>
  <c r="Q46" i="1"/>
  <c r="N47" i="1"/>
  <c r="P47" i="1" s="1"/>
  <c r="S47" i="1" s="1"/>
  <c r="O47" i="1"/>
  <c r="N48" i="1"/>
  <c r="P48" i="1" s="1"/>
  <c r="T48" i="1" s="1"/>
  <c r="N49" i="1"/>
  <c r="P49" i="1" s="1"/>
  <c r="S49" i="1" s="1"/>
  <c r="N50" i="1"/>
  <c r="P50" i="1" s="1"/>
  <c r="S50" i="1" s="1"/>
  <c r="Q50" i="1"/>
  <c r="R50" i="1"/>
  <c r="U50" i="1" s="1"/>
  <c r="T50" i="1"/>
  <c r="N51" i="1"/>
  <c r="P51" i="1" s="1"/>
  <c r="O51" i="1"/>
  <c r="R51" i="1"/>
  <c r="U51" i="1" s="1"/>
  <c r="S51" i="1"/>
  <c r="T51" i="1"/>
  <c r="N52" i="1"/>
  <c r="P52" i="1" s="1"/>
  <c r="S52" i="1" s="1"/>
  <c r="N53" i="1"/>
  <c r="P53" i="1" s="1"/>
  <c r="T53" i="1" s="1"/>
  <c r="N54" i="1"/>
  <c r="P54" i="1" s="1"/>
  <c r="S54" i="1" s="1"/>
  <c r="O54" i="1"/>
  <c r="Q54" i="1"/>
  <c r="N55" i="1"/>
  <c r="P55" i="1" s="1"/>
  <c r="S55" i="1" s="1"/>
  <c r="N56" i="1"/>
  <c r="P56" i="1" s="1"/>
  <c r="T56" i="1" s="1"/>
  <c r="O56" i="1"/>
  <c r="N57" i="1"/>
  <c r="P57" i="1" s="1"/>
  <c r="O57" i="1"/>
  <c r="Q57" i="1"/>
  <c r="S57" i="1"/>
  <c r="T57" i="1"/>
  <c r="N58" i="1"/>
  <c r="P58" i="1" s="1"/>
  <c r="S58" i="1" s="1"/>
  <c r="Q58" i="1"/>
  <c r="N59" i="1"/>
  <c r="P59" i="1" s="1"/>
  <c r="T59" i="1" s="1"/>
  <c r="O59" i="1"/>
  <c r="S59" i="1"/>
  <c r="N60" i="1"/>
  <c r="P60" i="1" s="1"/>
  <c r="T60" i="1" s="1"/>
  <c r="N61" i="1"/>
  <c r="P61" i="1" s="1"/>
  <c r="S61" i="1" s="1"/>
  <c r="O61" i="1"/>
  <c r="N62" i="1"/>
  <c r="P62" i="1" s="1"/>
  <c r="O62" i="1"/>
  <c r="Q62" i="1"/>
  <c r="S62" i="1"/>
  <c r="T62" i="1"/>
  <c r="N63" i="1"/>
  <c r="P63" i="1" s="1"/>
  <c r="S63" i="1" s="1"/>
  <c r="O63" i="1"/>
  <c r="N64" i="1"/>
  <c r="P64" i="1" s="1"/>
  <c r="T64" i="1" s="1"/>
  <c r="O64" i="1"/>
  <c r="Q64" i="1"/>
  <c r="R64" i="1" s="1"/>
  <c r="N65" i="1"/>
  <c r="P65" i="1" s="1"/>
  <c r="S65" i="1" s="1"/>
  <c r="O65" i="1"/>
  <c r="N66" i="1"/>
  <c r="P66" i="1" s="1"/>
  <c r="S66" i="1" s="1"/>
  <c r="Q66" i="1"/>
  <c r="N67" i="1"/>
  <c r="P67" i="1" s="1"/>
  <c r="T67" i="1" s="1"/>
  <c r="O67" i="1"/>
  <c r="S67" i="1"/>
  <c r="N68" i="1"/>
  <c r="P68" i="1" s="1"/>
  <c r="O68" i="1"/>
  <c r="S68" i="1"/>
  <c r="T68" i="1"/>
  <c r="N69" i="1"/>
  <c r="P69" i="1" s="1"/>
  <c r="S69" i="1" s="1"/>
  <c r="O69" i="1"/>
  <c r="N70" i="1"/>
  <c r="P70" i="1" s="1"/>
  <c r="S70" i="1" s="1"/>
  <c r="N71" i="1"/>
  <c r="P71" i="1" s="1"/>
  <c r="O71" i="1"/>
  <c r="S71" i="1"/>
  <c r="T71" i="1"/>
  <c r="N72" i="1"/>
  <c r="P72" i="1" s="1"/>
  <c r="O72" i="1"/>
  <c r="S72" i="1"/>
  <c r="T72" i="1"/>
  <c r="N73" i="1"/>
  <c r="P73" i="1" s="1"/>
  <c r="O73" i="1"/>
  <c r="Q73" i="1"/>
  <c r="S73" i="1"/>
  <c r="T73" i="1"/>
  <c r="N74" i="1"/>
  <c r="P74" i="1" s="1"/>
  <c r="O74" i="1"/>
  <c r="Q74" i="1"/>
  <c r="R74" i="1"/>
  <c r="U74" i="1" s="1"/>
  <c r="S74" i="1"/>
  <c r="T74" i="1"/>
  <c r="N75" i="1"/>
  <c r="P75" i="1" s="1"/>
  <c r="O75" i="1"/>
  <c r="S75" i="1"/>
  <c r="T75" i="1"/>
  <c r="N76" i="1"/>
  <c r="P76" i="1" s="1"/>
  <c r="O76" i="1"/>
  <c r="S76" i="1"/>
  <c r="T76" i="1"/>
  <c r="N77" i="1"/>
  <c r="P77" i="1" s="1"/>
  <c r="O77" i="1"/>
  <c r="S77" i="1"/>
  <c r="T77" i="1"/>
  <c r="N78" i="1"/>
  <c r="P78" i="1" s="1"/>
  <c r="O78" i="1"/>
  <c r="Q78" i="1"/>
  <c r="S78" i="1"/>
  <c r="T78" i="1"/>
  <c r="N79" i="1"/>
  <c r="P79" i="1" s="1"/>
  <c r="O79" i="1"/>
  <c r="Q79" i="1"/>
  <c r="S79" i="1"/>
  <c r="T79" i="1"/>
  <c r="N80" i="1"/>
  <c r="P80" i="1" s="1"/>
  <c r="O80" i="1"/>
  <c r="Q80" i="1"/>
  <c r="R80" i="1"/>
  <c r="S80" i="1"/>
  <c r="T80" i="1"/>
  <c r="N81" i="1"/>
  <c r="P81" i="1" s="1"/>
  <c r="O81" i="1"/>
  <c r="S81" i="1"/>
  <c r="T81" i="1"/>
  <c r="N82" i="1"/>
  <c r="P82" i="1" s="1"/>
  <c r="O82" i="1"/>
  <c r="S82" i="1"/>
  <c r="T82" i="1"/>
  <c r="N83" i="1"/>
  <c r="P83" i="1" s="1"/>
  <c r="O83" i="1"/>
  <c r="S83" i="1"/>
  <c r="T83" i="1"/>
  <c r="N84" i="1"/>
  <c r="P84" i="1" s="1"/>
  <c r="O84" i="1"/>
  <c r="S84" i="1"/>
  <c r="T84" i="1"/>
  <c r="N85" i="1"/>
  <c r="P85" i="1" s="1"/>
  <c r="O85" i="1"/>
  <c r="S85" i="1"/>
  <c r="T85" i="1"/>
  <c r="N86" i="1"/>
  <c r="P86" i="1" s="1"/>
  <c r="O86" i="1"/>
  <c r="Q86" i="1"/>
  <c r="S86" i="1"/>
  <c r="T86" i="1"/>
  <c r="N87" i="1"/>
  <c r="P87" i="1" s="1"/>
  <c r="O87" i="1"/>
  <c r="S87" i="1"/>
  <c r="T87" i="1"/>
  <c r="N88" i="1"/>
  <c r="R88" i="1" s="1"/>
  <c r="U88" i="1" s="1"/>
  <c r="O88" i="1"/>
  <c r="S88" i="1"/>
  <c r="T88" i="1"/>
  <c r="N89" i="1"/>
  <c r="P89" i="1" s="1"/>
  <c r="O89" i="1"/>
  <c r="S89" i="1"/>
  <c r="T89" i="1"/>
  <c r="N90" i="1"/>
  <c r="Q90" i="1" s="1"/>
  <c r="O90" i="1"/>
  <c r="P90" i="1"/>
  <c r="S90" i="1"/>
  <c r="T90" i="1"/>
  <c r="N91" i="1"/>
  <c r="O91" i="1"/>
  <c r="P91" i="1"/>
  <c r="Q91" i="1"/>
  <c r="R91" i="1"/>
  <c r="S91" i="1"/>
  <c r="T91" i="1"/>
  <c r="N92" i="1"/>
  <c r="O92" i="1"/>
  <c r="P92" i="1"/>
  <c r="Q92" i="1"/>
  <c r="R92" i="1"/>
  <c r="U92" i="1" s="1"/>
  <c r="S92" i="1"/>
  <c r="T92" i="1"/>
  <c r="N93" i="1"/>
  <c r="P93" i="1" s="1"/>
  <c r="O93" i="1"/>
  <c r="R93" i="1"/>
  <c r="S93" i="1"/>
  <c r="T93" i="1"/>
  <c r="N94" i="1"/>
  <c r="P94" i="1" s="1"/>
  <c r="O94" i="1"/>
  <c r="R94" i="1"/>
  <c r="S94" i="1"/>
  <c r="T94" i="1"/>
  <c r="N95" i="1"/>
  <c r="Q95" i="1" s="1"/>
  <c r="O95" i="1"/>
  <c r="P95" i="1"/>
  <c r="S95" i="1"/>
  <c r="T95" i="1"/>
  <c r="N96" i="1"/>
  <c r="R96" i="1" s="1"/>
  <c r="U96" i="1" s="1"/>
  <c r="O96" i="1"/>
  <c r="S96" i="1"/>
  <c r="T96" i="1"/>
  <c r="N97" i="1"/>
  <c r="P97" i="1" s="1"/>
  <c r="O97" i="1"/>
  <c r="S97" i="1"/>
  <c r="T97" i="1"/>
  <c r="N98" i="1"/>
  <c r="Q98" i="1" s="1"/>
  <c r="O98" i="1"/>
  <c r="P98" i="1"/>
  <c r="S98" i="1"/>
  <c r="T98" i="1"/>
  <c r="N99" i="1"/>
  <c r="O99" i="1"/>
  <c r="P99" i="1"/>
  <c r="Q99" i="1"/>
  <c r="R99" i="1"/>
  <c r="S99" i="1"/>
  <c r="T99" i="1"/>
  <c r="N100" i="1"/>
  <c r="O100" i="1"/>
  <c r="P100" i="1"/>
  <c r="Q100" i="1"/>
  <c r="R100" i="1"/>
  <c r="U100" i="1" s="1"/>
  <c r="S100" i="1"/>
  <c r="T100" i="1"/>
  <c r="N101" i="1"/>
  <c r="P101" i="1" s="1"/>
  <c r="O101" i="1"/>
  <c r="R101" i="1"/>
  <c r="S101" i="1"/>
  <c r="T101" i="1"/>
  <c r="U93" i="1" l="1"/>
  <c r="R97" i="1"/>
  <c r="U97" i="1" s="1"/>
  <c r="Q96" i="1"/>
  <c r="R89" i="1"/>
  <c r="U89" i="1" s="1"/>
  <c r="Q88" i="1"/>
  <c r="R82" i="1"/>
  <c r="U82" i="1" s="1"/>
  <c r="R72" i="1"/>
  <c r="U72" i="1" s="1"/>
  <c r="R55" i="1"/>
  <c r="R7" i="1"/>
  <c r="U7" i="1" s="1"/>
  <c r="R98" i="1"/>
  <c r="U98" i="1" s="1"/>
  <c r="Q97" i="1"/>
  <c r="P96" i="1"/>
  <c r="R90" i="1"/>
  <c r="U90" i="1" s="1"/>
  <c r="Q89" i="1"/>
  <c r="P88" i="1"/>
  <c r="Q82" i="1"/>
  <c r="Q72" i="1"/>
  <c r="Q55" i="1"/>
  <c r="Q49" i="1"/>
  <c r="R49" i="1" s="1"/>
  <c r="U49" i="1" s="1"/>
  <c r="T43" i="1"/>
  <c r="Q22" i="1"/>
  <c r="R22" i="1" s="1"/>
  <c r="U22" i="1" s="1"/>
  <c r="S11" i="1"/>
  <c r="Q7" i="1"/>
  <c r="U99" i="1"/>
  <c r="U91" i="1"/>
  <c r="R83" i="1"/>
  <c r="U83" i="1" s="1"/>
  <c r="R79" i="1"/>
  <c r="U79" i="1" s="1"/>
  <c r="R73" i="1"/>
  <c r="U73" i="1" s="1"/>
  <c r="O70" i="1"/>
  <c r="S64" i="1"/>
  <c r="U64" i="1" s="1"/>
  <c r="R57" i="1"/>
  <c r="U57" i="1" s="1"/>
  <c r="O55" i="1"/>
  <c r="O49" i="1"/>
  <c r="Q40" i="1"/>
  <c r="R40" i="1" s="1"/>
  <c r="Q30" i="1"/>
  <c r="R24" i="1"/>
  <c r="O22" i="1"/>
  <c r="O11" i="1"/>
  <c r="S8" i="1"/>
  <c r="U8" i="1" s="1"/>
  <c r="U101" i="1"/>
  <c r="U80" i="1"/>
  <c r="S48" i="1"/>
  <c r="U32" i="1"/>
  <c r="U17" i="1"/>
  <c r="Q101" i="1"/>
  <c r="U94" i="1"/>
  <c r="Q93" i="1"/>
  <c r="R25" i="1"/>
  <c r="U25" i="1" s="1"/>
  <c r="R3" i="1"/>
  <c r="U3" i="1" s="1"/>
  <c r="R95" i="1"/>
  <c r="U95" i="1" s="1"/>
  <c r="Q94" i="1"/>
  <c r="R87" i="1"/>
  <c r="U87" i="1" s="1"/>
  <c r="R81" i="1"/>
  <c r="U81" i="1" s="1"/>
  <c r="R75" i="1"/>
  <c r="U75" i="1" s="1"/>
  <c r="R71" i="1"/>
  <c r="U71" i="1" s="1"/>
  <c r="T49" i="1"/>
  <c r="Q48" i="1"/>
  <c r="R48" i="1" s="1"/>
  <c r="U48" i="1" s="1"/>
  <c r="Q25" i="1"/>
  <c r="Q23" i="1"/>
  <c r="R23" i="1" s="1"/>
  <c r="U10" i="1"/>
  <c r="Q3" i="1"/>
  <c r="Q87" i="1"/>
  <c r="Q81" i="1"/>
  <c r="Q71" i="1"/>
  <c r="Q63" i="1"/>
  <c r="R63" i="1" s="1"/>
  <c r="O53" i="1"/>
  <c r="O48" i="1"/>
  <c r="Q41" i="1"/>
  <c r="R41" i="1" s="1"/>
  <c r="O23" i="1"/>
  <c r="O19" i="1"/>
  <c r="O16" i="1"/>
  <c r="O5" i="1"/>
  <c r="O3" i="1"/>
  <c r="Q70" i="1"/>
  <c r="T66" i="1"/>
  <c r="R66" i="1"/>
  <c r="U66" i="1" s="1"/>
  <c r="T65" i="1"/>
  <c r="Q65" i="1"/>
  <c r="R65" i="1" s="1"/>
  <c r="T58" i="1"/>
  <c r="R58" i="1"/>
  <c r="S56" i="1"/>
  <c r="Q56" i="1"/>
  <c r="R56" i="1" s="1"/>
  <c r="U56" i="1" s="1"/>
  <c r="Q47" i="1"/>
  <c r="R47" i="1" s="1"/>
  <c r="T42" i="1"/>
  <c r="S42" i="1"/>
  <c r="Q42" i="1"/>
  <c r="R42" i="1" s="1"/>
  <c r="U42" i="1" s="1"/>
  <c r="T41" i="1"/>
  <c r="S40" i="1"/>
  <c r="U40" i="1" s="1"/>
  <c r="O35" i="1"/>
  <c r="T35" i="1"/>
  <c r="T34" i="1"/>
  <c r="Q34" i="1"/>
  <c r="R34" i="1" s="1"/>
  <c r="T33" i="1"/>
  <c r="Q33" i="1"/>
  <c r="R33" i="1" s="1"/>
  <c r="U33" i="1" s="1"/>
  <c r="Q31" i="1"/>
  <c r="R31" i="1" s="1"/>
  <c r="S27" i="1"/>
  <c r="Q26" i="1"/>
  <c r="T26" i="1"/>
  <c r="R26" i="1"/>
  <c r="T19" i="1"/>
  <c r="T18" i="1"/>
  <c r="R18" i="1"/>
  <c r="U18" i="1" s="1"/>
  <c r="S16" i="1"/>
  <c r="Q16" i="1"/>
  <c r="R16" i="1" s="1"/>
  <c r="U16" i="1" s="1"/>
  <c r="Q15" i="1"/>
  <c r="R15" i="1" s="1"/>
  <c r="T9" i="1"/>
  <c r="S9" i="1"/>
  <c r="Q9" i="1"/>
  <c r="R9" i="1" s="1"/>
  <c r="U24" i="1"/>
  <c r="T28" i="1"/>
  <c r="T12" i="1"/>
  <c r="T69" i="1"/>
  <c r="T61" i="1"/>
  <c r="S44" i="1"/>
  <c r="T37" i="1"/>
  <c r="S36" i="1"/>
  <c r="T29" i="1"/>
  <c r="T21" i="1"/>
  <c r="S20" i="1"/>
  <c r="T13" i="1"/>
  <c r="T5" i="1"/>
  <c r="S4" i="1"/>
  <c r="R84" i="1"/>
  <c r="U84" i="1" s="1"/>
  <c r="Q83" i="1"/>
  <c r="R76" i="1"/>
  <c r="U76" i="1" s="1"/>
  <c r="Q75" i="1"/>
  <c r="T70" i="1"/>
  <c r="R68" i="1"/>
  <c r="U68" i="1" s="1"/>
  <c r="Q67" i="1"/>
  <c r="R67" i="1" s="1"/>
  <c r="U67" i="1" s="1"/>
  <c r="O66" i="1"/>
  <c r="Q59" i="1"/>
  <c r="R59" i="1" s="1"/>
  <c r="U59" i="1" s="1"/>
  <c r="O58" i="1"/>
  <c r="T54" i="1"/>
  <c r="S53" i="1"/>
  <c r="Q51" i="1"/>
  <c r="O50" i="1"/>
  <c r="T46" i="1"/>
  <c r="S45" i="1"/>
  <c r="R44" i="1"/>
  <c r="Q43" i="1"/>
  <c r="R43" i="1" s="1"/>
  <c r="U43" i="1" s="1"/>
  <c r="O42" i="1"/>
  <c r="T38" i="1"/>
  <c r="Q35" i="1"/>
  <c r="R35" i="1" s="1"/>
  <c r="U35" i="1" s="1"/>
  <c r="T30" i="1"/>
  <c r="Q27" i="1"/>
  <c r="R27" i="1" s="1"/>
  <c r="O26" i="1"/>
  <c r="T22" i="1"/>
  <c r="Q19" i="1"/>
  <c r="R19" i="1" s="1"/>
  <c r="U19" i="1" s="1"/>
  <c r="O18" i="1"/>
  <c r="T14" i="1"/>
  <c r="Q11" i="1"/>
  <c r="R11" i="1" s="1"/>
  <c r="O10" i="1"/>
  <c r="T6" i="1"/>
  <c r="S60" i="1"/>
  <c r="R85" i="1"/>
  <c r="U85" i="1" s="1"/>
  <c r="T63" i="1"/>
  <c r="R61" i="1"/>
  <c r="Q60" i="1"/>
  <c r="R60" i="1" s="1"/>
  <c r="T55" i="1"/>
  <c r="Q52" i="1"/>
  <c r="R52" i="1" s="1"/>
  <c r="T47" i="1"/>
  <c r="Q44" i="1"/>
  <c r="T39" i="1"/>
  <c r="U39" i="1" s="1"/>
  <c r="Q36" i="1"/>
  <c r="R36" i="1" s="1"/>
  <c r="U36" i="1" s="1"/>
  <c r="T31" i="1"/>
  <c r="R29" i="1"/>
  <c r="Q28" i="1"/>
  <c r="R28" i="1" s="1"/>
  <c r="T23" i="1"/>
  <c r="R21" i="1"/>
  <c r="Q20" i="1"/>
  <c r="R20" i="1" s="1"/>
  <c r="T15" i="1"/>
  <c r="Q12" i="1"/>
  <c r="R12" i="1" s="1"/>
  <c r="U12" i="1" s="1"/>
  <c r="Q4" i="1"/>
  <c r="R4" i="1" s="1"/>
  <c r="T52" i="1"/>
  <c r="Q84" i="1"/>
  <c r="R77" i="1"/>
  <c r="U77" i="1" s="1"/>
  <c r="Q76" i="1"/>
  <c r="R69" i="1"/>
  <c r="U69" i="1" s="1"/>
  <c r="Q68" i="1"/>
  <c r="R86" i="1"/>
  <c r="U86" i="1" s="1"/>
  <c r="Q85" i="1"/>
  <c r="R78" i="1"/>
  <c r="U78" i="1" s="1"/>
  <c r="Q77" i="1"/>
  <c r="R70" i="1"/>
  <c r="U70" i="1" s="1"/>
  <c r="Q69" i="1"/>
  <c r="R62" i="1"/>
  <c r="U62" i="1" s="1"/>
  <c r="Q61" i="1"/>
  <c r="O60" i="1"/>
  <c r="R54" i="1"/>
  <c r="U54" i="1" s="1"/>
  <c r="Q53" i="1"/>
  <c r="R53" i="1" s="1"/>
  <c r="O52" i="1"/>
  <c r="R46" i="1"/>
  <c r="U46" i="1" s="1"/>
  <c r="Q45" i="1"/>
  <c r="R45" i="1" s="1"/>
  <c r="U45" i="1" s="1"/>
  <c r="O44" i="1"/>
  <c r="R38" i="1"/>
  <c r="Q37" i="1"/>
  <c r="R37" i="1" s="1"/>
  <c r="U37" i="1" s="1"/>
  <c r="O36" i="1"/>
  <c r="R30" i="1"/>
  <c r="Q29" i="1"/>
  <c r="O28" i="1"/>
  <c r="Q21" i="1"/>
  <c r="O20" i="1"/>
  <c r="R14" i="1"/>
  <c r="Q13" i="1"/>
  <c r="R13" i="1" s="1"/>
  <c r="U13" i="1" s="1"/>
  <c r="O12" i="1"/>
  <c r="R6" i="1"/>
  <c r="U6" i="1" s="1"/>
  <c r="Q5" i="1"/>
  <c r="R5" i="1" s="1"/>
  <c r="U5" i="1" s="1"/>
  <c r="O4" i="1"/>
  <c r="I42" i="49"/>
  <c r="I43" i="49"/>
  <c r="I44" i="49"/>
  <c r="I45" i="49"/>
  <c r="I46" i="49"/>
  <c r="I47" i="49"/>
  <c r="I48" i="49"/>
  <c r="I49" i="49"/>
  <c r="I50" i="49"/>
  <c r="I51" i="49"/>
  <c r="I52" i="49"/>
  <c r="I53" i="49"/>
  <c r="I54" i="49"/>
  <c r="I55" i="49"/>
  <c r="I56" i="49"/>
  <c r="I57" i="49"/>
  <c r="I58" i="49"/>
  <c r="I59" i="49"/>
  <c r="I60" i="49"/>
  <c r="I61" i="49"/>
  <c r="I62" i="49"/>
  <c r="I41" i="49"/>
  <c r="F42" i="49"/>
  <c r="F43" i="49"/>
  <c r="F44" i="49"/>
  <c r="F45" i="49"/>
  <c r="F46" i="49"/>
  <c r="F47" i="49"/>
  <c r="F48" i="49"/>
  <c r="F49" i="49"/>
  <c r="F50" i="49"/>
  <c r="F51" i="49"/>
  <c r="F52" i="49"/>
  <c r="F53" i="49"/>
  <c r="F54" i="49"/>
  <c r="F55" i="49"/>
  <c r="F56" i="49"/>
  <c r="F57" i="49"/>
  <c r="F58" i="49"/>
  <c r="F59" i="49"/>
  <c r="F60" i="49"/>
  <c r="F61" i="49"/>
  <c r="F62" i="49"/>
  <c r="F41" i="49"/>
  <c r="B42" i="49"/>
  <c r="B43" i="49"/>
  <c r="B44" i="49"/>
  <c r="B45" i="49"/>
  <c r="B46" i="49"/>
  <c r="B47" i="49"/>
  <c r="B48" i="49"/>
  <c r="B49" i="49"/>
  <c r="B50" i="49"/>
  <c r="B51" i="49"/>
  <c r="B52" i="49"/>
  <c r="B53" i="49"/>
  <c r="B54" i="49"/>
  <c r="B55" i="49"/>
  <c r="B56" i="49"/>
  <c r="B57" i="49"/>
  <c r="B58" i="49"/>
  <c r="B59" i="49"/>
  <c r="B60" i="49"/>
  <c r="B61" i="49"/>
  <c r="B62" i="49"/>
  <c r="B63" i="49"/>
  <c r="B41" i="49"/>
  <c r="U14" i="1" l="1"/>
  <c r="U41" i="1"/>
  <c r="U9" i="1"/>
  <c r="U58" i="1"/>
  <c r="U23" i="1"/>
  <c r="U27" i="1"/>
  <c r="U26" i="1"/>
  <c r="U34" i="1"/>
  <c r="U63" i="1"/>
  <c r="U28" i="1"/>
  <c r="U30" i="1"/>
  <c r="U53" i="1"/>
  <c r="U55" i="1"/>
  <c r="U11" i="1"/>
  <c r="U65" i="1"/>
  <c r="U60" i="1"/>
  <c r="U52" i="1"/>
  <c r="U47" i="1"/>
  <c r="U31" i="1"/>
  <c r="U20" i="1"/>
  <c r="U15" i="1"/>
  <c r="U4" i="1"/>
  <c r="U29" i="1"/>
  <c r="U38" i="1"/>
  <c r="U61" i="1"/>
  <c r="U44" i="1"/>
  <c r="U21" i="1"/>
  <c r="C240" i="103"/>
  <c r="C241" i="103"/>
  <c r="C242" i="103"/>
  <c r="C243" i="103"/>
  <c r="C244" i="103"/>
  <c r="C240" i="113"/>
  <c r="C241" i="113"/>
  <c r="C242" i="113"/>
  <c r="C243" i="113"/>
  <c r="C244" i="113"/>
  <c r="C240" i="104"/>
  <c r="C241" i="104"/>
  <c r="C242" i="104"/>
  <c r="C243" i="104"/>
  <c r="C244" i="104"/>
  <c r="C240" i="105"/>
  <c r="C241" i="105"/>
  <c r="C242" i="105"/>
  <c r="C243" i="105"/>
  <c r="C244" i="105"/>
  <c r="C240" i="106"/>
  <c r="C241" i="106"/>
  <c r="C242" i="106"/>
  <c r="C243" i="106"/>
  <c r="C244" i="106"/>
  <c r="C240" i="107"/>
  <c r="C241" i="107"/>
  <c r="C242" i="107"/>
  <c r="C243" i="107"/>
  <c r="C244" i="107"/>
  <c r="C240" i="131"/>
  <c r="C241" i="131"/>
  <c r="C242" i="131"/>
  <c r="C243" i="131"/>
  <c r="C244" i="131"/>
  <c r="B240" i="103"/>
  <c r="B241" i="103"/>
  <c r="B242" i="103"/>
  <c r="B243" i="103"/>
  <c r="B244" i="103"/>
  <c r="B240" i="113"/>
  <c r="B241" i="113"/>
  <c r="B242" i="113"/>
  <c r="B243" i="113"/>
  <c r="B244" i="113"/>
  <c r="B240" i="104"/>
  <c r="B241" i="104"/>
  <c r="B242" i="104"/>
  <c r="B243" i="104"/>
  <c r="B244" i="104"/>
  <c r="B240" i="105"/>
  <c r="B241" i="105"/>
  <c r="B242" i="105"/>
  <c r="B243" i="105"/>
  <c r="B244" i="105"/>
  <c r="B240" i="106"/>
  <c r="B241" i="106"/>
  <c r="B242" i="106"/>
  <c r="B243" i="106"/>
  <c r="B244" i="106"/>
  <c r="B240" i="107"/>
  <c r="B241" i="107"/>
  <c r="B242" i="107"/>
  <c r="B243" i="107"/>
  <c r="B244" i="107"/>
  <c r="B240" i="131"/>
  <c r="B241" i="131"/>
  <c r="B242" i="131"/>
  <c r="B243" i="131"/>
  <c r="B244" i="131"/>
  <c r="H102" i="2" l="1"/>
  <c r="H109" i="2"/>
  <c r="H16" i="2"/>
  <c r="H71" i="2"/>
  <c r="H43" i="2" l="1"/>
  <c r="H42" i="2"/>
  <c r="H42" i="49" l="1"/>
  <c r="H43" i="49"/>
  <c r="H44" i="49"/>
  <c r="H45" i="49"/>
  <c r="H46" i="49"/>
  <c r="H47" i="49"/>
  <c r="H48" i="49"/>
  <c r="H49" i="49"/>
  <c r="H50" i="49"/>
  <c r="H51" i="49"/>
  <c r="H52" i="49"/>
  <c r="H53" i="49"/>
  <c r="H54" i="49"/>
  <c r="H55" i="49"/>
  <c r="H56" i="49"/>
  <c r="H57" i="49"/>
  <c r="H58" i="49"/>
  <c r="H59" i="49"/>
  <c r="H60" i="49"/>
  <c r="H61" i="49"/>
  <c r="H62" i="49"/>
  <c r="H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7" i="1" l="1"/>
  <c r="H5" i="1"/>
  <c r="I5" i="1"/>
  <c r="G68" i="2" l="1"/>
  <c r="G120" i="2"/>
  <c r="G118" i="2"/>
  <c r="G119" i="2"/>
  <c r="G27" i="2"/>
  <c r="C39" i="104" l="1"/>
  <c r="I39" i="104"/>
  <c r="I45" i="106" l="1"/>
  <c r="I42" i="106"/>
  <c r="I39" i="106"/>
  <c r="C45" i="106"/>
  <c r="C42" i="106"/>
  <c r="C39" i="106"/>
  <c r="C44" i="131" l="1"/>
  <c r="C42" i="131"/>
  <c r="F15" i="131"/>
  <c r="H125" i="131"/>
  <c r="H124" i="131"/>
  <c r="H123" i="131"/>
  <c r="H122" i="131"/>
  <c r="H121" i="131"/>
  <c r="H120" i="131"/>
  <c r="H119" i="131"/>
  <c r="H118" i="131"/>
  <c r="H117" i="131"/>
  <c r="H116" i="131"/>
  <c r="H115" i="131"/>
  <c r="H114" i="131"/>
  <c r="H113" i="131"/>
  <c r="H112" i="131"/>
  <c r="H111" i="131"/>
  <c r="H110" i="131"/>
  <c r="B75" i="131"/>
  <c r="B74" i="131"/>
  <c r="I71" i="131"/>
  <c r="F71" i="131"/>
  <c r="I70" i="131"/>
  <c r="F70" i="131"/>
  <c r="K69" i="131"/>
  <c r="I66" i="131"/>
  <c r="H66" i="131"/>
  <c r="K61" i="131"/>
  <c r="C61" i="131"/>
  <c r="K60" i="131"/>
  <c r="J60" i="131"/>
  <c r="I60" i="131"/>
  <c r="C60" i="131"/>
  <c r="K59" i="131"/>
  <c r="J59" i="131"/>
  <c r="I59" i="131"/>
  <c r="C59" i="131"/>
  <c r="K58" i="131"/>
  <c r="J58" i="131"/>
  <c r="I58" i="131"/>
  <c r="C58" i="131"/>
  <c r="K57" i="131"/>
  <c r="J57" i="131"/>
  <c r="I57" i="131"/>
  <c r="C57" i="131"/>
  <c r="K56" i="131"/>
  <c r="J56" i="131"/>
  <c r="I56" i="131"/>
  <c r="C56" i="131"/>
  <c r="K55" i="131"/>
  <c r="J55" i="131"/>
  <c r="I55" i="131"/>
  <c r="C55" i="131"/>
  <c r="K54" i="131"/>
  <c r="J54" i="131"/>
  <c r="I54" i="131"/>
  <c r="C54" i="131"/>
  <c r="K53" i="131"/>
  <c r="J53" i="131"/>
  <c r="I53" i="131"/>
  <c r="C53" i="131"/>
  <c r="I52" i="131"/>
  <c r="I51" i="131"/>
  <c r="C51" i="131"/>
  <c r="I50" i="131"/>
  <c r="C50" i="131"/>
  <c r="I49" i="131"/>
  <c r="C49" i="131"/>
  <c r="I48" i="131"/>
  <c r="C48" i="131"/>
  <c r="I47" i="131"/>
  <c r="C47" i="131"/>
  <c r="I46" i="131"/>
  <c r="C46" i="131"/>
  <c r="I45" i="131"/>
  <c r="C45" i="131"/>
  <c r="I44" i="131"/>
  <c r="I43" i="131"/>
  <c r="C43" i="131"/>
  <c r="I42" i="131"/>
  <c r="I41" i="131"/>
  <c r="C41" i="131"/>
  <c r="I40" i="131"/>
  <c r="C40" i="131"/>
  <c r="I39" i="131"/>
  <c r="C39" i="131"/>
  <c r="I38" i="131"/>
  <c r="C38" i="131"/>
  <c r="I37" i="131"/>
  <c r="C37" i="131"/>
  <c r="J31" i="131"/>
  <c r="I31" i="131"/>
  <c r="H31" i="131"/>
  <c r="G31" i="131"/>
  <c r="F31" i="131"/>
  <c r="E31" i="131"/>
  <c r="J30" i="131"/>
  <c r="I30" i="131"/>
  <c r="H30" i="131"/>
  <c r="G30" i="131"/>
  <c r="F30" i="131"/>
  <c r="E30" i="131"/>
  <c r="J29" i="131"/>
  <c r="I29" i="131"/>
  <c r="H29" i="131"/>
  <c r="G29" i="131"/>
  <c r="F29" i="131"/>
  <c r="E29" i="131"/>
  <c r="J28" i="131"/>
  <c r="I28" i="131"/>
  <c r="H28" i="131"/>
  <c r="G28" i="131"/>
  <c r="F28" i="131"/>
  <c r="E28" i="131"/>
  <c r="J27" i="131"/>
  <c r="I27" i="131"/>
  <c r="H27" i="131"/>
  <c r="G27" i="131"/>
  <c r="F27" i="131"/>
  <c r="E27" i="131"/>
  <c r="J26" i="131"/>
  <c r="I26" i="131"/>
  <c r="H26" i="131"/>
  <c r="G26" i="131"/>
  <c r="F26" i="131"/>
  <c r="E26" i="131"/>
  <c r="J25" i="131"/>
  <c r="I25" i="131"/>
  <c r="H25" i="131"/>
  <c r="G25" i="131"/>
  <c r="F25" i="131"/>
  <c r="E25" i="131"/>
  <c r="J24" i="131"/>
  <c r="I24" i="131"/>
  <c r="H24" i="131"/>
  <c r="G24" i="131"/>
  <c r="F24" i="131"/>
  <c r="E24" i="131"/>
  <c r="J23" i="131"/>
  <c r="I23" i="131"/>
  <c r="H23" i="131"/>
  <c r="G23" i="131"/>
  <c r="F23" i="131"/>
  <c r="E23" i="131"/>
  <c r="J22" i="131"/>
  <c r="I22" i="131"/>
  <c r="H22" i="131"/>
  <c r="G22" i="131"/>
  <c r="F22" i="131"/>
  <c r="E22" i="131"/>
  <c r="J21" i="131"/>
  <c r="I21" i="131"/>
  <c r="H21" i="131"/>
  <c r="G21" i="131"/>
  <c r="F21" i="131"/>
  <c r="E21" i="131"/>
  <c r="J20" i="131"/>
  <c r="I20" i="131"/>
  <c r="H20" i="131"/>
  <c r="G20" i="131"/>
  <c r="F20" i="131"/>
  <c r="E20" i="131"/>
  <c r="J19" i="131"/>
  <c r="I19" i="131"/>
  <c r="H19" i="131"/>
  <c r="G19" i="131"/>
  <c r="F19" i="131"/>
  <c r="E19" i="131"/>
  <c r="E18" i="131"/>
  <c r="J17" i="131"/>
  <c r="I17" i="131"/>
  <c r="H17" i="131"/>
  <c r="G17" i="131"/>
  <c r="F17" i="131"/>
  <c r="E17" i="131"/>
  <c r="K17" i="131" s="1"/>
  <c r="J16" i="131"/>
  <c r="I16" i="131"/>
  <c r="H16" i="131"/>
  <c r="G16" i="131"/>
  <c r="F16" i="131"/>
  <c r="E16" i="131"/>
  <c r="E14" i="131"/>
  <c r="E13" i="131"/>
  <c r="E12" i="131"/>
  <c r="F10" i="131"/>
  <c r="E10" i="131"/>
  <c r="O4" i="131"/>
  <c r="L2" i="131"/>
  <c r="K71" i="131" l="1"/>
  <c r="K70" i="131"/>
  <c r="K24" i="131"/>
  <c r="K31" i="131"/>
  <c r="K22" i="131"/>
  <c r="K23" i="131"/>
  <c r="K19" i="131"/>
  <c r="K28" i="131"/>
  <c r="K25" i="131"/>
  <c r="K21" i="131"/>
  <c r="K30" i="131"/>
  <c r="K20" i="131"/>
  <c r="K29" i="131"/>
  <c r="K27" i="131"/>
  <c r="K26" i="131"/>
  <c r="K16" i="131"/>
  <c r="C56" i="105"/>
  <c r="C55" i="105"/>
  <c r="E26" i="105"/>
  <c r="F26" i="105"/>
  <c r="G26" i="105"/>
  <c r="H26" i="105"/>
  <c r="I26" i="105"/>
  <c r="J26" i="105"/>
  <c r="E27" i="105"/>
  <c r="F27" i="105"/>
  <c r="G27" i="105"/>
  <c r="H27" i="105"/>
  <c r="I27" i="105"/>
  <c r="J27" i="105"/>
  <c r="E28" i="105"/>
  <c r="F28" i="105"/>
  <c r="G28" i="105"/>
  <c r="H28" i="105"/>
  <c r="I28" i="105"/>
  <c r="J28" i="105"/>
  <c r="E29" i="105"/>
  <c r="F29" i="105"/>
  <c r="G29" i="105"/>
  <c r="H29" i="105"/>
  <c r="I29" i="105"/>
  <c r="J29" i="105"/>
  <c r="E30" i="105"/>
  <c r="F30" i="105"/>
  <c r="G30" i="105"/>
  <c r="H30" i="105"/>
  <c r="I30" i="105"/>
  <c r="J30" i="105"/>
  <c r="E31" i="105"/>
  <c r="F31" i="105"/>
  <c r="G31" i="105"/>
  <c r="H31" i="105"/>
  <c r="I31" i="105"/>
  <c r="J31" i="105"/>
  <c r="C43" i="105"/>
  <c r="I43" i="105"/>
  <c r="C44" i="105"/>
  <c r="I44" i="105"/>
  <c r="K31" i="105" l="1"/>
  <c r="K30" i="105"/>
  <c r="K27" i="105"/>
  <c r="K28" i="105"/>
  <c r="K29" i="105"/>
  <c r="K26" i="105"/>
  <c r="J41" i="1" l="1"/>
  <c r="H41" i="1"/>
  <c r="E15" i="131" l="1"/>
  <c r="E33" i="131" s="1"/>
  <c r="J39" i="1"/>
  <c r="H39" i="1"/>
  <c r="H114" i="2" l="1"/>
  <c r="H124" i="2"/>
  <c r="H81" i="2"/>
  <c r="H79" i="2"/>
  <c r="H106" i="2"/>
  <c r="H39" i="2"/>
  <c r="H93" i="2"/>
  <c r="H91" i="2"/>
  <c r="H126" i="2"/>
  <c r="C61" i="103" l="1"/>
  <c r="C61" i="113"/>
  <c r="C61" i="104"/>
  <c r="C61" i="105"/>
  <c r="C61" i="106"/>
  <c r="C61" i="107"/>
  <c r="K61" i="103"/>
  <c r="K61" i="113"/>
  <c r="K61" i="104"/>
  <c r="K61" i="105"/>
  <c r="K61" i="106"/>
  <c r="K61" i="107"/>
  <c r="H123" i="103"/>
  <c r="H124" i="103"/>
  <c r="H125" i="103"/>
  <c r="H123" i="113"/>
  <c r="H124" i="113"/>
  <c r="H125" i="113"/>
  <c r="H123" i="104"/>
  <c r="H124" i="104"/>
  <c r="H125" i="104"/>
  <c r="H123" i="105"/>
  <c r="H124" i="105"/>
  <c r="H125" i="105"/>
  <c r="H123" i="106"/>
  <c r="H124" i="106"/>
  <c r="H125" i="106"/>
  <c r="H123" i="107"/>
  <c r="H124" i="107"/>
  <c r="H125" i="107"/>
  <c r="H120" i="103"/>
  <c r="H121" i="103"/>
  <c r="H122" i="103"/>
  <c r="H120" i="113"/>
  <c r="H121" i="113"/>
  <c r="H122" i="113"/>
  <c r="H120" i="104"/>
  <c r="H121" i="104"/>
  <c r="H122" i="104"/>
  <c r="H120" i="105"/>
  <c r="H121" i="105"/>
  <c r="H122" i="105"/>
  <c r="H120" i="106"/>
  <c r="H121" i="106"/>
  <c r="H122" i="106"/>
  <c r="H120" i="107"/>
  <c r="H121" i="107"/>
  <c r="H122" i="107"/>
  <c r="H111" i="103"/>
  <c r="H112" i="103"/>
  <c r="H113" i="103"/>
  <c r="H114" i="103"/>
  <c r="H115" i="103"/>
  <c r="H116" i="103"/>
  <c r="H117" i="103"/>
  <c r="H118" i="103"/>
  <c r="H119" i="103"/>
  <c r="H111" i="113"/>
  <c r="H112" i="113"/>
  <c r="H113" i="113"/>
  <c r="H114" i="113"/>
  <c r="H115" i="113"/>
  <c r="H116" i="113"/>
  <c r="H117" i="113"/>
  <c r="H118" i="113"/>
  <c r="H119" i="113"/>
  <c r="H111" i="104"/>
  <c r="H112" i="104"/>
  <c r="H113" i="104"/>
  <c r="H114" i="104"/>
  <c r="H115" i="104"/>
  <c r="H116" i="104"/>
  <c r="H117" i="104"/>
  <c r="H118" i="104"/>
  <c r="H119" i="104"/>
  <c r="H111" i="105"/>
  <c r="H112" i="105"/>
  <c r="H113" i="105"/>
  <c r="H114" i="105"/>
  <c r="H115" i="105"/>
  <c r="H116" i="105"/>
  <c r="H117" i="105"/>
  <c r="H118" i="105"/>
  <c r="H119" i="105"/>
  <c r="H111" i="106"/>
  <c r="H112" i="106"/>
  <c r="H113" i="106"/>
  <c r="H114" i="106"/>
  <c r="H115" i="106"/>
  <c r="H116" i="106"/>
  <c r="H117" i="106"/>
  <c r="H118" i="106"/>
  <c r="H119" i="106"/>
  <c r="H111" i="107"/>
  <c r="H112" i="107"/>
  <c r="H113" i="107"/>
  <c r="H114" i="107"/>
  <c r="H115" i="107"/>
  <c r="H116" i="107"/>
  <c r="H117" i="107"/>
  <c r="H118" i="107"/>
  <c r="H119" i="107"/>
  <c r="H110" i="103"/>
  <c r="H110" i="113"/>
  <c r="H110" i="104"/>
  <c r="H110" i="105"/>
  <c r="H110" i="106"/>
  <c r="H110" i="107"/>
  <c r="H59" i="106" l="1"/>
  <c r="H48" i="104"/>
  <c r="H59" i="113"/>
  <c r="H48" i="103"/>
  <c r="H48" i="107"/>
  <c r="E17" i="113"/>
  <c r="E18" i="113"/>
  <c r="E19" i="113"/>
  <c r="E20" i="113"/>
  <c r="E21" i="113"/>
  <c r="E22" i="113"/>
  <c r="E23" i="113"/>
  <c r="B75" i="113"/>
  <c r="B74" i="113"/>
  <c r="I71" i="113"/>
  <c r="K71" i="113" s="1"/>
  <c r="I70" i="113"/>
  <c r="K70" i="113" s="1"/>
  <c r="K69" i="113"/>
  <c r="I66" i="113"/>
  <c r="H66" i="113"/>
  <c r="I60" i="113"/>
  <c r="C60" i="113"/>
  <c r="I59" i="113"/>
  <c r="C59" i="113"/>
  <c r="I58" i="113"/>
  <c r="C58" i="113"/>
  <c r="I57" i="113"/>
  <c r="C57" i="113"/>
  <c r="I56" i="113"/>
  <c r="C56" i="113"/>
  <c r="I55" i="113"/>
  <c r="C55" i="113"/>
  <c r="I54" i="113"/>
  <c r="C54" i="113"/>
  <c r="I53" i="113"/>
  <c r="C53" i="113"/>
  <c r="I52" i="113"/>
  <c r="C52" i="113"/>
  <c r="I51" i="113"/>
  <c r="C51" i="113"/>
  <c r="I50" i="113"/>
  <c r="C50" i="113"/>
  <c r="I49" i="113"/>
  <c r="C49" i="113"/>
  <c r="I48" i="113"/>
  <c r="C48" i="113"/>
  <c r="I47" i="113"/>
  <c r="C47" i="113"/>
  <c r="I46" i="113"/>
  <c r="C46" i="113"/>
  <c r="I45" i="113"/>
  <c r="C45" i="113"/>
  <c r="I44" i="113"/>
  <c r="C44" i="113"/>
  <c r="I43" i="113"/>
  <c r="C43" i="113"/>
  <c r="I42" i="113"/>
  <c r="C42" i="113"/>
  <c r="I41" i="113"/>
  <c r="C41" i="113"/>
  <c r="I40" i="113"/>
  <c r="C40" i="113"/>
  <c r="I39" i="113"/>
  <c r="C39" i="113"/>
  <c r="I38" i="113"/>
  <c r="C38" i="113"/>
  <c r="I37" i="113"/>
  <c r="C37" i="113"/>
  <c r="J31" i="113"/>
  <c r="I31" i="113"/>
  <c r="H31" i="113"/>
  <c r="G31" i="113"/>
  <c r="F31" i="113"/>
  <c r="E31" i="113"/>
  <c r="J30" i="113"/>
  <c r="I30" i="113"/>
  <c r="H30" i="113"/>
  <c r="G30" i="113"/>
  <c r="F30" i="113"/>
  <c r="E30" i="113"/>
  <c r="J29" i="113"/>
  <c r="I29" i="113"/>
  <c r="H29" i="113"/>
  <c r="G29" i="113"/>
  <c r="F29" i="113"/>
  <c r="E29" i="113"/>
  <c r="J28" i="113"/>
  <c r="I28" i="113"/>
  <c r="H28" i="113"/>
  <c r="G28" i="113"/>
  <c r="F28" i="113"/>
  <c r="E28" i="113"/>
  <c r="J27" i="113"/>
  <c r="I27" i="113"/>
  <c r="H27" i="113"/>
  <c r="G27" i="113"/>
  <c r="F27" i="113"/>
  <c r="E27" i="113"/>
  <c r="J26" i="113"/>
  <c r="I26" i="113"/>
  <c r="H26" i="113"/>
  <c r="G26" i="113"/>
  <c r="F26" i="113"/>
  <c r="E26" i="113"/>
  <c r="J25" i="113"/>
  <c r="I25" i="113"/>
  <c r="H25" i="113"/>
  <c r="G25" i="113"/>
  <c r="F25" i="113"/>
  <c r="E25" i="113"/>
  <c r="J24" i="113"/>
  <c r="I24" i="113"/>
  <c r="H24" i="113"/>
  <c r="G24" i="113"/>
  <c r="F24" i="113"/>
  <c r="E24" i="113"/>
  <c r="J23" i="113"/>
  <c r="I23" i="113"/>
  <c r="H23" i="113"/>
  <c r="G23" i="113"/>
  <c r="F23" i="113"/>
  <c r="F21" i="113"/>
  <c r="F20" i="113"/>
  <c r="E16" i="113"/>
  <c r="E15" i="113"/>
  <c r="E14" i="113"/>
  <c r="E13" i="113"/>
  <c r="E12" i="113"/>
  <c r="F10" i="113"/>
  <c r="E10" i="113"/>
  <c r="O4" i="113"/>
  <c r="L2" i="113"/>
  <c r="I56" i="103"/>
  <c r="J56" i="103"/>
  <c r="K56" i="103"/>
  <c r="I57" i="103"/>
  <c r="J57" i="103"/>
  <c r="K57" i="103"/>
  <c r="I58" i="103"/>
  <c r="J58" i="103"/>
  <c r="K58" i="103"/>
  <c r="I59" i="103"/>
  <c r="J59" i="103"/>
  <c r="K59" i="103"/>
  <c r="I60" i="103"/>
  <c r="J60" i="103"/>
  <c r="K60" i="103"/>
  <c r="I56" i="104"/>
  <c r="J56" i="104"/>
  <c r="K56" i="104"/>
  <c r="I57" i="104"/>
  <c r="J57" i="104"/>
  <c r="K57" i="104"/>
  <c r="I58" i="104"/>
  <c r="J58" i="104"/>
  <c r="K58" i="104"/>
  <c r="I59" i="104"/>
  <c r="J59" i="104"/>
  <c r="K59" i="104"/>
  <c r="I60" i="104"/>
  <c r="J60" i="104"/>
  <c r="K60" i="104"/>
  <c r="I54" i="105"/>
  <c r="J54" i="105"/>
  <c r="K54" i="105"/>
  <c r="I57" i="105"/>
  <c r="J57" i="105"/>
  <c r="K57" i="105"/>
  <c r="I58" i="105"/>
  <c r="J58" i="105"/>
  <c r="K58" i="105"/>
  <c r="I59" i="105"/>
  <c r="J59" i="105"/>
  <c r="K59" i="105"/>
  <c r="I60" i="105"/>
  <c r="J60" i="105"/>
  <c r="K60" i="105"/>
  <c r="I59" i="106"/>
  <c r="I60" i="106"/>
  <c r="I56" i="107"/>
  <c r="J56" i="107"/>
  <c r="K56" i="107"/>
  <c r="I57" i="107"/>
  <c r="J57" i="107"/>
  <c r="K57" i="107"/>
  <c r="I58" i="107"/>
  <c r="J58" i="107"/>
  <c r="K58" i="107"/>
  <c r="I59" i="107"/>
  <c r="J59" i="107"/>
  <c r="K59" i="107"/>
  <c r="I60" i="107"/>
  <c r="J60" i="107"/>
  <c r="K60" i="107"/>
  <c r="C56" i="103"/>
  <c r="C57" i="103"/>
  <c r="C58" i="103"/>
  <c r="C59" i="103"/>
  <c r="C60" i="103"/>
  <c r="C56" i="104"/>
  <c r="C57" i="104"/>
  <c r="C58" i="104"/>
  <c r="C59" i="104"/>
  <c r="C60" i="104"/>
  <c r="C54" i="105"/>
  <c r="C57" i="105"/>
  <c r="C58" i="105"/>
  <c r="C59" i="105"/>
  <c r="C60" i="105"/>
  <c r="C59" i="106"/>
  <c r="C60" i="106"/>
  <c r="C56" i="107"/>
  <c r="C57" i="107"/>
  <c r="C58" i="107"/>
  <c r="C59" i="107"/>
  <c r="C60" i="107"/>
  <c r="E33" i="113" l="1"/>
  <c r="K23" i="113"/>
  <c r="K24" i="113"/>
  <c r="K25" i="113"/>
  <c r="K26" i="113"/>
  <c r="K27" i="113"/>
  <c r="K28" i="113"/>
  <c r="K29" i="113"/>
  <c r="K30" i="113"/>
  <c r="K31" i="113"/>
  <c r="F10" i="103" l="1"/>
  <c r="F10" i="104"/>
  <c r="F10" i="105"/>
  <c r="F10" i="106"/>
  <c r="F10" i="107"/>
  <c r="E19" i="103" l="1"/>
  <c r="E19" i="104"/>
  <c r="E19" i="105"/>
  <c r="E19" i="106"/>
  <c r="E19" i="107"/>
  <c r="E12" i="103"/>
  <c r="E12" i="104"/>
  <c r="E12" i="105"/>
  <c r="E12" i="106"/>
  <c r="E12" i="107"/>
  <c r="O4" i="103"/>
  <c r="O4" i="104"/>
  <c r="O4" i="105"/>
  <c r="O4" i="106"/>
  <c r="O4" i="107"/>
  <c r="L2" i="107" l="1"/>
  <c r="B75" i="107"/>
  <c r="B74" i="107"/>
  <c r="I71" i="107"/>
  <c r="F71" i="107"/>
  <c r="I70" i="107"/>
  <c r="F70" i="107"/>
  <c r="K69" i="107"/>
  <c r="I66" i="107"/>
  <c r="H66" i="107"/>
  <c r="K55" i="107"/>
  <c r="J55" i="107"/>
  <c r="I55" i="107"/>
  <c r="C55" i="107"/>
  <c r="K54" i="107"/>
  <c r="J54" i="107"/>
  <c r="I54" i="107"/>
  <c r="C54" i="107"/>
  <c r="K53" i="107"/>
  <c r="J53" i="107"/>
  <c r="I53" i="107"/>
  <c r="C53" i="107"/>
  <c r="K52" i="107"/>
  <c r="J52" i="107"/>
  <c r="I52" i="107"/>
  <c r="C52" i="107"/>
  <c r="K51" i="107"/>
  <c r="J51" i="107"/>
  <c r="I51" i="107"/>
  <c r="C51" i="107"/>
  <c r="I50" i="107"/>
  <c r="C50" i="107"/>
  <c r="I49" i="107"/>
  <c r="C49" i="107"/>
  <c r="I48" i="107"/>
  <c r="C48" i="107"/>
  <c r="I47" i="107"/>
  <c r="C47" i="107"/>
  <c r="I46" i="107"/>
  <c r="C46" i="107"/>
  <c r="I45" i="107"/>
  <c r="C45" i="107"/>
  <c r="I44" i="107"/>
  <c r="C44" i="107"/>
  <c r="I43" i="107"/>
  <c r="C43" i="107"/>
  <c r="I42" i="107"/>
  <c r="C42" i="107"/>
  <c r="I41" i="107"/>
  <c r="C41" i="107"/>
  <c r="I40" i="107"/>
  <c r="C40" i="107"/>
  <c r="I39" i="107"/>
  <c r="C39" i="107"/>
  <c r="I38" i="107"/>
  <c r="C38" i="107"/>
  <c r="I37" i="107"/>
  <c r="C37" i="107"/>
  <c r="J31" i="107"/>
  <c r="I31" i="107"/>
  <c r="H31" i="107"/>
  <c r="G31" i="107"/>
  <c r="F31" i="107"/>
  <c r="E31" i="107"/>
  <c r="J30" i="107"/>
  <c r="I30" i="107"/>
  <c r="H30" i="107"/>
  <c r="G30" i="107"/>
  <c r="F30" i="107"/>
  <c r="E30" i="107"/>
  <c r="J29" i="107"/>
  <c r="I29" i="107"/>
  <c r="H29" i="107"/>
  <c r="G29" i="107"/>
  <c r="F29" i="107"/>
  <c r="E29" i="107"/>
  <c r="J28" i="107"/>
  <c r="I28" i="107"/>
  <c r="H28" i="107"/>
  <c r="G28" i="107"/>
  <c r="F28" i="107"/>
  <c r="E28" i="107"/>
  <c r="J27" i="107"/>
  <c r="I27" i="107"/>
  <c r="H27" i="107"/>
  <c r="G27" i="107"/>
  <c r="F27" i="107"/>
  <c r="E27" i="107"/>
  <c r="J26" i="107"/>
  <c r="I26" i="107"/>
  <c r="H26" i="107"/>
  <c r="G26" i="107"/>
  <c r="F26" i="107"/>
  <c r="E26" i="107"/>
  <c r="J25" i="107"/>
  <c r="I25" i="107"/>
  <c r="H25" i="107"/>
  <c r="G25" i="107"/>
  <c r="F25" i="107"/>
  <c r="E25" i="107"/>
  <c r="J24" i="107"/>
  <c r="I24" i="107"/>
  <c r="H24" i="107"/>
  <c r="G24" i="107"/>
  <c r="F24" i="107"/>
  <c r="E24" i="107"/>
  <c r="J23" i="107"/>
  <c r="I23" i="107"/>
  <c r="H23" i="107"/>
  <c r="G23" i="107"/>
  <c r="F23" i="107"/>
  <c r="E23" i="107"/>
  <c r="J22" i="107"/>
  <c r="I22" i="107"/>
  <c r="H22" i="107"/>
  <c r="G22" i="107"/>
  <c r="F22" i="107"/>
  <c r="E22" i="107"/>
  <c r="J21" i="107"/>
  <c r="I21" i="107"/>
  <c r="H21" i="107"/>
  <c r="G21" i="107"/>
  <c r="F21" i="107"/>
  <c r="E21" i="107"/>
  <c r="J20" i="107"/>
  <c r="I20" i="107"/>
  <c r="H20" i="107"/>
  <c r="G20" i="107"/>
  <c r="F20" i="107"/>
  <c r="E20" i="107"/>
  <c r="J19" i="107"/>
  <c r="I19" i="107"/>
  <c r="H19" i="107"/>
  <c r="G19" i="107"/>
  <c r="F19" i="107"/>
  <c r="J18" i="107"/>
  <c r="I18" i="107"/>
  <c r="H18" i="107"/>
  <c r="G18" i="107"/>
  <c r="F18" i="107"/>
  <c r="E18" i="107"/>
  <c r="K18" i="107" s="1"/>
  <c r="E17" i="107"/>
  <c r="J16" i="107"/>
  <c r="I16" i="107"/>
  <c r="H16" i="107"/>
  <c r="G16" i="107"/>
  <c r="F16" i="107"/>
  <c r="E16" i="107"/>
  <c r="K16" i="107" s="1"/>
  <c r="J15" i="107"/>
  <c r="I15" i="107"/>
  <c r="H15" i="107"/>
  <c r="G15" i="107"/>
  <c r="F15" i="107"/>
  <c r="E15" i="107"/>
  <c r="K15" i="107" s="1"/>
  <c r="E14" i="107"/>
  <c r="E10" i="107"/>
  <c r="L2" i="106"/>
  <c r="B75" i="106"/>
  <c r="B74" i="106"/>
  <c r="I71" i="106"/>
  <c r="F71" i="106"/>
  <c r="I70" i="106"/>
  <c r="F70" i="106"/>
  <c r="K69" i="106"/>
  <c r="I66" i="106"/>
  <c r="H66" i="106"/>
  <c r="I58" i="106"/>
  <c r="C58" i="106"/>
  <c r="I57" i="106"/>
  <c r="C57" i="106"/>
  <c r="I56" i="106"/>
  <c r="C56" i="106"/>
  <c r="I55" i="106"/>
  <c r="C55" i="106"/>
  <c r="I54" i="106"/>
  <c r="C54" i="106"/>
  <c r="I53" i="106"/>
  <c r="C53" i="106"/>
  <c r="I52" i="106"/>
  <c r="C52" i="106"/>
  <c r="I51" i="106"/>
  <c r="C51" i="106"/>
  <c r="I50" i="106"/>
  <c r="C50" i="106"/>
  <c r="I49" i="106"/>
  <c r="C49" i="106"/>
  <c r="I48" i="106"/>
  <c r="C48" i="106"/>
  <c r="I47" i="106"/>
  <c r="C47" i="106"/>
  <c r="I46" i="106"/>
  <c r="C46" i="106"/>
  <c r="I44" i="106"/>
  <c r="C44" i="106"/>
  <c r="I43" i="106"/>
  <c r="C43" i="106"/>
  <c r="I41" i="106"/>
  <c r="C41" i="106"/>
  <c r="I40" i="106"/>
  <c r="C40" i="106"/>
  <c r="I38" i="106"/>
  <c r="C38" i="106"/>
  <c r="I37" i="106"/>
  <c r="C37" i="106"/>
  <c r="J31" i="106"/>
  <c r="I31" i="106"/>
  <c r="H31" i="106"/>
  <c r="G31" i="106"/>
  <c r="F31" i="106"/>
  <c r="E31" i="106"/>
  <c r="J30" i="106"/>
  <c r="I30" i="106"/>
  <c r="H30" i="106"/>
  <c r="G30" i="106"/>
  <c r="F30" i="106"/>
  <c r="E30" i="106"/>
  <c r="J29" i="106"/>
  <c r="I29" i="106"/>
  <c r="H29" i="106"/>
  <c r="G29" i="106"/>
  <c r="F29" i="106"/>
  <c r="E29" i="106"/>
  <c r="J28" i="106"/>
  <c r="I28" i="106"/>
  <c r="H28" i="106"/>
  <c r="G28" i="106"/>
  <c r="F28" i="106"/>
  <c r="E28" i="106"/>
  <c r="J27" i="106"/>
  <c r="I27" i="106"/>
  <c r="H27" i="106"/>
  <c r="G27" i="106"/>
  <c r="F27" i="106"/>
  <c r="E27" i="106"/>
  <c r="J26" i="106"/>
  <c r="I26" i="106"/>
  <c r="H26" i="106"/>
  <c r="G26" i="106"/>
  <c r="F26" i="106"/>
  <c r="E26" i="106"/>
  <c r="J25" i="106"/>
  <c r="I25" i="106"/>
  <c r="H25" i="106"/>
  <c r="G25" i="106"/>
  <c r="F25" i="106"/>
  <c r="E25" i="106"/>
  <c r="J24" i="106"/>
  <c r="I24" i="106"/>
  <c r="H24" i="106"/>
  <c r="G24" i="106"/>
  <c r="F24" i="106"/>
  <c r="E24" i="106"/>
  <c r="J23" i="106"/>
  <c r="I23" i="106"/>
  <c r="H23" i="106"/>
  <c r="G23" i="106"/>
  <c r="F23" i="106"/>
  <c r="E23" i="106"/>
  <c r="J22" i="106"/>
  <c r="I22" i="106"/>
  <c r="H22" i="106"/>
  <c r="G22" i="106"/>
  <c r="F22" i="106"/>
  <c r="E22" i="106"/>
  <c r="E21" i="106"/>
  <c r="E20" i="106"/>
  <c r="J19" i="106"/>
  <c r="I19" i="106"/>
  <c r="H19" i="106"/>
  <c r="G19" i="106"/>
  <c r="F19" i="106"/>
  <c r="K19" i="106"/>
  <c r="E18" i="106"/>
  <c r="E17" i="106"/>
  <c r="E16" i="106"/>
  <c r="E15" i="106"/>
  <c r="E14" i="106"/>
  <c r="E13" i="106"/>
  <c r="E10" i="106"/>
  <c r="L2" i="105"/>
  <c r="B75" i="105"/>
  <c r="B74" i="105"/>
  <c r="I71" i="105"/>
  <c r="I70" i="105"/>
  <c r="K69" i="105"/>
  <c r="I66" i="105"/>
  <c r="H66" i="105"/>
  <c r="K53" i="105"/>
  <c r="J53" i="105"/>
  <c r="I53" i="105"/>
  <c r="C53" i="105"/>
  <c r="K52" i="105"/>
  <c r="J52" i="105"/>
  <c r="I52" i="105"/>
  <c r="C52" i="105"/>
  <c r="K51" i="105"/>
  <c r="J51" i="105"/>
  <c r="I51" i="105"/>
  <c r="C51" i="105"/>
  <c r="I50" i="105"/>
  <c r="C50" i="105"/>
  <c r="I49" i="105"/>
  <c r="C49" i="105"/>
  <c r="I48" i="105"/>
  <c r="C48" i="105"/>
  <c r="I47" i="105"/>
  <c r="C47" i="105"/>
  <c r="I46" i="105"/>
  <c r="C46" i="105"/>
  <c r="I45" i="105"/>
  <c r="C45" i="105"/>
  <c r="I42" i="105"/>
  <c r="C42" i="105"/>
  <c r="I41" i="105"/>
  <c r="C41" i="105"/>
  <c r="I40" i="105"/>
  <c r="C40" i="105"/>
  <c r="I39" i="105"/>
  <c r="C39" i="105"/>
  <c r="I38" i="105"/>
  <c r="C38" i="105"/>
  <c r="I37" i="105"/>
  <c r="C37" i="105"/>
  <c r="J25" i="105"/>
  <c r="I25" i="105"/>
  <c r="H25" i="105"/>
  <c r="G25" i="105"/>
  <c r="F25" i="105"/>
  <c r="E25" i="105"/>
  <c r="J24" i="105"/>
  <c r="I24" i="105"/>
  <c r="H24" i="105"/>
  <c r="G24" i="105"/>
  <c r="F24" i="105"/>
  <c r="E24" i="105"/>
  <c r="E23" i="105"/>
  <c r="E22" i="105"/>
  <c r="E21" i="105"/>
  <c r="E20" i="105"/>
  <c r="E18" i="105"/>
  <c r="E17" i="105"/>
  <c r="E16" i="105"/>
  <c r="E15" i="105"/>
  <c r="E14" i="105"/>
  <c r="E13" i="105"/>
  <c r="E10" i="105"/>
  <c r="L2" i="104"/>
  <c r="B75" i="104"/>
  <c r="B74" i="104"/>
  <c r="I71" i="104"/>
  <c r="I70" i="104"/>
  <c r="K69" i="104"/>
  <c r="I66" i="104"/>
  <c r="H66" i="104"/>
  <c r="K55" i="104"/>
  <c r="J55" i="104"/>
  <c r="I55" i="104"/>
  <c r="C55" i="104"/>
  <c r="K54" i="104"/>
  <c r="J54" i="104"/>
  <c r="I54" i="104"/>
  <c r="C54" i="104"/>
  <c r="K53" i="104"/>
  <c r="J53" i="104"/>
  <c r="I53" i="104"/>
  <c r="C53" i="104"/>
  <c r="K52" i="104"/>
  <c r="J52" i="104"/>
  <c r="I52" i="104"/>
  <c r="C52" i="104"/>
  <c r="K51" i="104"/>
  <c r="J51" i="104"/>
  <c r="I51" i="104"/>
  <c r="C51" i="104"/>
  <c r="I50" i="104"/>
  <c r="C50" i="104"/>
  <c r="I49" i="104"/>
  <c r="C49" i="104"/>
  <c r="I48" i="104"/>
  <c r="C48" i="104"/>
  <c r="I47" i="104"/>
  <c r="C47" i="104"/>
  <c r="I46" i="104"/>
  <c r="C46" i="104"/>
  <c r="I45" i="104"/>
  <c r="C45" i="104"/>
  <c r="I44" i="104"/>
  <c r="C44" i="104"/>
  <c r="I43" i="104"/>
  <c r="C43" i="104"/>
  <c r="I42" i="104"/>
  <c r="C42" i="104"/>
  <c r="I41" i="104"/>
  <c r="C41" i="104"/>
  <c r="I40" i="104"/>
  <c r="C40" i="104"/>
  <c r="I38" i="104"/>
  <c r="C38" i="104"/>
  <c r="I37" i="104"/>
  <c r="C37" i="104"/>
  <c r="J31" i="104"/>
  <c r="I31" i="104"/>
  <c r="H31" i="104"/>
  <c r="G31" i="104"/>
  <c r="F31" i="104"/>
  <c r="E31" i="104"/>
  <c r="J30" i="104"/>
  <c r="I30" i="104"/>
  <c r="H30" i="104"/>
  <c r="G30" i="104"/>
  <c r="F30" i="104"/>
  <c r="E30" i="104"/>
  <c r="J29" i="104"/>
  <c r="I29" i="104"/>
  <c r="H29" i="104"/>
  <c r="G29" i="104"/>
  <c r="F29" i="104"/>
  <c r="E29" i="104"/>
  <c r="J28" i="104"/>
  <c r="I28" i="104"/>
  <c r="H28" i="104"/>
  <c r="G28" i="104"/>
  <c r="F28" i="104"/>
  <c r="E28" i="104"/>
  <c r="J27" i="104"/>
  <c r="I27" i="104"/>
  <c r="H27" i="104"/>
  <c r="G27" i="104"/>
  <c r="F27" i="104"/>
  <c r="E27" i="104"/>
  <c r="J26" i="104"/>
  <c r="I26" i="104"/>
  <c r="H26" i="104"/>
  <c r="G26" i="104"/>
  <c r="F26" i="104"/>
  <c r="E26" i="104"/>
  <c r="J25" i="104"/>
  <c r="I25" i="104"/>
  <c r="H25" i="104"/>
  <c r="G25" i="104"/>
  <c r="F25" i="104"/>
  <c r="E25" i="104"/>
  <c r="J24" i="104"/>
  <c r="I24" i="104"/>
  <c r="H24" i="104"/>
  <c r="G24" i="104"/>
  <c r="F24" i="104"/>
  <c r="E24" i="104"/>
  <c r="J23" i="104"/>
  <c r="I23" i="104"/>
  <c r="H23" i="104"/>
  <c r="G23" i="104"/>
  <c r="F23" i="104"/>
  <c r="E23" i="104"/>
  <c r="E22" i="104"/>
  <c r="E21" i="104"/>
  <c r="J20" i="104"/>
  <c r="I20" i="104"/>
  <c r="H20" i="104"/>
  <c r="G20" i="104"/>
  <c r="F20" i="104"/>
  <c r="E20" i="104"/>
  <c r="K20" i="104" s="1"/>
  <c r="E17" i="104"/>
  <c r="E18" i="104"/>
  <c r="E16" i="104"/>
  <c r="E15" i="104"/>
  <c r="E14" i="104"/>
  <c r="E13" i="104"/>
  <c r="E10" i="104"/>
  <c r="L2" i="103"/>
  <c r="B75" i="103"/>
  <c r="B74" i="103"/>
  <c r="I71" i="103"/>
  <c r="F71" i="103"/>
  <c r="I70" i="103"/>
  <c r="F70" i="103"/>
  <c r="K69" i="103"/>
  <c r="I66" i="103"/>
  <c r="H66" i="103"/>
  <c r="K55" i="103"/>
  <c r="J55" i="103"/>
  <c r="I55" i="103"/>
  <c r="C55" i="103"/>
  <c r="K54" i="103"/>
  <c r="J54" i="103"/>
  <c r="I54" i="103"/>
  <c r="C54" i="103"/>
  <c r="K53" i="103"/>
  <c r="J53" i="103"/>
  <c r="I53" i="103"/>
  <c r="C53" i="103"/>
  <c r="K52" i="103"/>
  <c r="J52" i="103"/>
  <c r="I52" i="103"/>
  <c r="C52" i="103"/>
  <c r="J51" i="103"/>
  <c r="K51" i="103" s="1"/>
  <c r="I51" i="103"/>
  <c r="C51" i="103"/>
  <c r="I50" i="103"/>
  <c r="C50" i="103"/>
  <c r="I49" i="103"/>
  <c r="C49" i="103"/>
  <c r="I48" i="103"/>
  <c r="C48" i="103"/>
  <c r="I47" i="103"/>
  <c r="C47" i="103"/>
  <c r="I46" i="103"/>
  <c r="C46" i="103"/>
  <c r="I45" i="103"/>
  <c r="C45" i="103"/>
  <c r="I44" i="103"/>
  <c r="C44" i="103"/>
  <c r="I43" i="103"/>
  <c r="C43" i="103"/>
  <c r="I42" i="103"/>
  <c r="C42" i="103"/>
  <c r="I41" i="103"/>
  <c r="C41" i="103"/>
  <c r="I40" i="103"/>
  <c r="C40" i="103"/>
  <c r="I39" i="103"/>
  <c r="C39" i="103"/>
  <c r="I38" i="103"/>
  <c r="C38" i="103"/>
  <c r="I37" i="103"/>
  <c r="C37" i="103"/>
  <c r="J31" i="103"/>
  <c r="I31" i="103"/>
  <c r="H31" i="103"/>
  <c r="G31" i="103"/>
  <c r="F31" i="103"/>
  <c r="E31" i="103"/>
  <c r="J30" i="103"/>
  <c r="I30" i="103"/>
  <c r="H30" i="103"/>
  <c r="G30" i="103"/>
  <c r="F30" i="103"/>
  <c r="E30" i="103"/>
  <c r="J29" i="103"/>
  <c r="I29" i="103"/>
  <c r="H29" i="103"/>
  <c r="G29" i="103"/>
  <c r="F29" i="103"/>
  <c r="E29" i="103"/>
  <c r="J28" i="103"/>
  <c r="I28" i="103"/>
  <c r="H28" i="103"/>
  <c r="G28" i="103"/>
  <c r="F28" i="103"/>
  <c r="E28" i="103"/>
  <c r="J27" i="103"/>
  <c r="I27" i="103"/>
  <c r="H27" i="103"/>
  <c r="G27" i="103"/>
  <c r="F27" i="103"/>
  <c r="E27" i="103"/>
  <c r="J26" i="103"/>
  <c r="I26" i="103"/>
  <c r="H26" i="103"/>
  <c r="G26" i="103"/>
  <c r="F26" i="103"/>
  <c r="E26" i="103"/>
  <c r="J25" i="103"/>
  <c r="I25" i="103"/>
  <c r="H25" i="103"/>
  <c r="G25" i="103"/>
  <c r="F25" i="103"/>
  <c r="E25" i="103"/>
  <c r="J24" i="103"/>
  <c r="I24" i="103"/>
  <c r="H24" i="103"/>
  <c r="G24" i="103"/>
  <c r="F24" i="103"/>
  <c r="E24" i="103"/>
  <c r="J23" i="103"/>
  <c r="I23" i="103"/>
  <c r="H23" i="103"/>
  <c r="G23" i="103"/>
  <c r="F23" i="103"/>
  <c r="E23" i="103"/>
  <c r="J22" i="103"/>
  <c r="I22" i="103"/>
  <c r="H22" i="103"/>
  <c r="G22" i="103"/>
  <c r="F22" i="103"/>
  <c r="E22" i="103"/>
  <c r="J21" i="103"/>
  <c r="I21" i="103"/>
  <c r="H21" i="103"/>
  <c r="G21" i="103"/>
  <c r="F21" i="103"/>
  <c r="E21" i="103"/>
  <c r="J20" i="103"/>
  <c r="I20" i="103"/>
  <c r="H20" i="103"/>
  <c r="G20" i="103"/>
  <c r="F20" i="103"/>
  <c r="E20" i="103"/>
  <c r="J19" i="103"/>
  <c r="I19" i="103"/>
  <c r="H19" i="103"/>
  <c r="G19" i="103"/>
  <c r="F19" i="103"/>
  <c r="J18" i="103"/>
  <c r="I18" i="103"/>
  <c r="H18" i="103"/>
  <c r="G18" i="103"/>
  <c r="F18" i="103"/>
  <c r="E18" i="103"/>
  <c r="J17" i="103"/>
  <c r="I17" i="103"/>
  <c r="H17" i="103"/>
  <c r="G17" i="103"/>
  <c r="F17" i="103"/>
  <c r="E17" i="103"/>
  <c r="E16" i="103"/>
  <c r="E15" i="103"/>
  <c r="J14" i="103"/>
  <c r="I14" i="103"/>
  <c r="H14" i="103"/>
  <c r="G14" i="103"/>
  <c r="F14" i="103"/>
  <c r="E14" i="103"/>
  <c r="K14" i="103" s="1"/>
  <c r="E13" i="103"/>
  <c r="E10" i="103"/>
  <c r="K70" i="105" l="1"/>
  <c r="K71" i="105"/>
  <c r="E33" i="105"/>
  <c r="E33" i="103"/>
  <c r="K70" i="104"/>
  <c r="K71" i="104"/>
  <c r="K70" i="106"/>
  <c r="K71" i="106"/>
  <c r="E33" i="104"/>
  <c r="E33" i="106"/>
  <c r="K19" i="107"/>
  <c r="K20" i="107"/>
  <c r="K21" i="107"/>
  <c r="K22" i="107"/>
  <c r="K23" i="107"/>
  <c r="K24" i="107"/>
  <c r="K25" i="107"/>
  <c r="K26" i="107"/>
  <c r="K27" i="107"/>
  <c r="K28" i="107"/>
  <c r="K70" i="103"/>
  <c r="K71" i="103"/>
  <c r="K70" i="107"/>
  <c r="K71" i="107"/>
  <c r="K29" i="107"/>
  <c r="K30" i="107"/>
  <c r="K31" i="107"/>
  <c r="K22" i="106"/>
  <c r="K23" i="106"/>
  <c r="K24" i="106"/>
  <c r="K25" i="106"/>
  <c r="K26" i="106"/>
  <c r="K27" i="106"/>
  <c r="K28" i="106"/>
  <c r="K29" i="106"/>
  <c r="K30" i="106"/>
  <c r="K31" i="106"/>
  <c r="K24" i="105"/>
  <c r="K25" i="105"/>
  <c r="K23" i="104"/>
  <c r="K24" i="104"/>
  <c r="K25" i="104"/>
  <c r="K26" i="104"/>
  <c r="K27" i="104"/>
  <c r="K28" i="104"/>
  <c r="K29" i="104"/>
  <c r="K30" i="104"/>
  <c r="K31" i="104"/>
  <c r="K17" i="103"/>
  <c r="K18" i="103"/>
  <c r="K19" i="103"/>
  <c r="K20" i="103"/>
  <c r="K21" i="103"/>
  <c r="K22" i="103"/>
  <c r="K23" i="103"/>
  <c r="K24" i="103"/>
  <c r="K25" i="103"/>
  <c r="K26" i="103"/>
  <c r="K27" i="103"/>
  <c r="K28" i="103"/>
  <c r="K29" i="103"/>
  <c r="K30" i="103"/>
  <c r="K31" i="103"/>
  <c r="H90" i="2"/>
  <c r="H108" i="2"/>
  <c r="H92" i="2"/>
  <c r="H115" i="2"/>
  <c r="H73" i="2"/>
  <c r="H116" i="2"/>
  <c r="H77" i="2"/>
  <c r="H4" i="2"/>
  <c r="H89" i="2"/>
  <c r="H68" i="2"/>
  <c r="H38" i="2"/>
  <c r="H54" i="2"/>
  <c r="H85" i="2"/>
  <c r="H9" i="2"/>
  <c r="H19" i="2"/>
  <c r="H32" i="2"/>
  <c r="H87" i="2"/>
  <c r="H107" i="2"/>
  <c r="H69" i="2"/>
  <c r="H21" i="2"/>
  <c r="J42" i="131" s="1"/>
  <c r="K42" i="131" s="1"/>
  <c r="B7" i="49"/>
  <c r="H53" i="2"/>
  <c r="H63" i="2"/>
  <c r="H52" i="2"/>
  <c r="H83" i="2"/>
  <c r="H117" i="2"/>
  <c r="H123" i="2"/>
  <c r="H50" i="2"/>
  <c r="H66" i="2"/>
  <c r="H119" i="2"/>
  <c r="H59" i="2"/>
  <c r="H27" i="2"/>
  <c r="H55" i="2"/>
  <c r="H38" i="1"/>
  <c r="J40" i="1"/>
  <c r="J38" i="1"/>
  <c r="H40" i="1"/>
  <c r="O2" i="1"/>
  <c r="T2" i="1"/>
  <c r="S2" i="1"/>
  <c r="N2"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2" i="1" l="1"/>
  <c r="Q2" i="1"/>
  <c r="F18" i="131"/>
  <c r="F13" i="131"/>
  <c r="F12" i="131"/>
  <c r="F14" i="131"/>
  <c r="F18" i="104"/>
  <c r="F22" i="105"/>
  <c r="J37" i="131"/>
  <c r="K37" i="131" s="1"/>
  <c r="J55" i="113"/>
  <c r="K55" i="113" s="1"/>
  <c r="J44" i="105"/>
  <c r="K44" i="105" s="1"/>
  <c r="J40" i="131"/>
  <c r="K40" i="131" s="1"/>
  <c r="J42" i="113"/>
  <c r="K42" i="113" s="1"/>
  <c r="J39" i="113"/>
  <c r="K39" i="113" s="1"/>
  <c r="J44" i="113"/>
  <c r="K44" i="113" s="1"/>
  <c r="J46" i="113"/>
  <c r="K46" i="113" s="1"/>
  <c r="J37" i="113"/>
  <c r="K37" i="113" s="1"/>
  <c r="F14" i="113"/>
  <c r="F19" i="113"/>
  <c r="F18" i="113"/>
  <c r="F13" i="113"/>
  <c r="F15" i="113"/>
  <c r="F17" i="113"/>
  <c r="F16" i="113"/>
  <c r="F12" i="113"/>
  <c r="F22" i="113"/>
  <c r="F22" i="104"/>
  <c r="F16" i="103"/>
  <c r="F23" i="105"/>
  <c r="F21" i="106"/>
  <c r="J50" i="105"/>
  <c r="K50" i="105" s="1"/>
  <c r="J50" i="104"/>
  <c r="K50" i="104" s="1"/>
  <c r="J50" i="103"/>
  <c r="K50" i="103" s="1"/>
  <c r="J9" i="48"/>
  <c r="K9" i="48"/>
  <c r="F18" i="105"/>
  <c r="E13" i="107"/>
  <c r="E33" i="107" s="1"/>
  <c r="F17" i="107"/>
  <c r="F14" i="107"/>
  <c r="F12" i="107"/>
  <c r="F21" i="105"/>
  <c r="F20" i="105"/>
  <c r="F19" i="105"/>
  <c r="F21" i="104"/>
  <c r="F19" i="104"/>
  <c r="F13" i="107"/>
  <c r="F20" i="106"/>
  <c r="F18" i="106"/>
  <c r="F17" i="106"/>
  <c r="F16" i="106"/>
  <c r="F15" i="106"/>
  <c r="F14" i="106"/>
  <c r="F13" i="106"/>
  <c r="F12" i="106"/>
  <c r="F17" i="105"/>
  <c r="F16" i="105"/>
  <c r="F15" i="105"/>
  <c r="F14" i="105"/>
  <c r="F13" i="105"/>
  <c r="F12" i="105"/>
  <c r="F17" i="104"/>
  <c r="F16" i="104"/>
  <c r="F15" i="104"/>
  <c r="F14" i="104"/>
  <c r="F13" i="104"/>
  <c r="F12" i="104"/>
  <c r="F15" i="103"/>
  <c r="F13" i="103"/>
  <c r="F12" i="103"/>
  <c r="J50" i="107"/>
  <c r="K50" i="107" s="1"/>
  <c r="L7" i="48"/>
  <c r="K7" i="48"/>
  <c r="O7" i="48" s="1"/>
  <c r="J8" i="48"/>
  <c r="K8" i="48"/>
  <c r="M8" i="48" s="1"/>
  <c r="O2" i="48"/>
  <c r="J4" i="48"/>
  <c r="R2" i="1"/>
  <c r="U2" i="1" s="1"/>
  <c r="J6" i="48"/>
  <c r="J3" i="48"/>
  <c r="J5" i="48"/>
  <c r="J2" i="48"/>
  <c r="K6" i="48"/>
  <c r="M6" i="48" s="1"/>
  <c r="K4" i="48"/>
  <c r="M4" i="48" s="1"/>
  <c r="K5" i="48"/>
  <c r="M5" i="48" s="1"/>
  <c r="K3" i="48"/>
  <c r="M3" i="48" s="1"/>
  <c r="L2" i="48"/>
  <c r="M2" i="48" s="1"/>
  <c r="H11" i="2"/>
  <c r="J44" i="131" s="1"/>
  <c r="K44" i="131" s="1"/>
  <c r="H22" i="2"/>
  <c r="H62" i="2"/>
  <c r="H112" i="2"/>
  <c r="H86" i="2"/>
  <c r="H113" i="2"/>
  <c r="H24" i="2"/>
  <c r="H12" i="2"/>
  <c r="AO2" i="1"/>
  <c r="AO3" i="1"/>
  <c r="AO4" i="1"/>
  <c r="AO5" i="1"/>
  <c r="AO6" i="1"/>
  <c r="AO7" i="1"/>
  <c r="AO8" i="1"/>
  <c r="AO10" i="1"/>
  <c r="AO11" i="1"/>
  <c r="AO9" i="1"/>
  <c r="M9" i="48"/>
  <c r="M10" i="48"/>
  <c r="P10" i="48" s="1"/>
  <c r="M11" i="48"/>
  <c r="P11" i="48" s="1"/>
  <c r="M12" i="48"/>
  <c r="P12" i="48" s="1"/>
  <c r="J52" i="131" l="1"/>
  <c r="K52" i="131" s="1"/>
  <c r="H22" i="105"/>
  <c r="H18" i="105"/>
  <c r="F33" i="131"/>
  <c r="H13" i="131"/>
  <c r="H18" i="131"/>
  <c r="G13" i="131"/>
  <c r="G15" i="131"/>
  <c r="G18" i="131"/>
  <c r="G14" i="131"/>
  <c r="G12" i="131"/>
  <c r="H14" i="131"/>
  <c r="H12" i="131"/>
  <c r="H15" i="131"/>
  <c r="H13" i="107"/>
  <c r="H16" i="113"/>
  <c r="H19" i="113"/>
  <c r="J48" i="103"/>
  <c r="K48" i="103" s="1"/>
  <c r="F33" i="113"/>
  <c r="J59" i="106"/>
  <c r="K59" i="106" s="1"/>
  <c r="J59" i="113"/>
  <c r="K59" i="113" s="1"/>
  <c r="J48" i="105"/>
  <c r="K48" i="105" s="1"/>
  <c r="P2" i="48"/>
  <c r="J48" i="104"/>
  <c r="K48" i="104" s="1"/>
  <c r="G16" i="113"/>
  <c r="G19" i="113"/>
  <c r="H21" i="113"/>
  <c r="H22" i="113"/>
  <c r="H23" i="105"/>
  <c r="H22" i="104"/>
  <c r="H21" i="106"/>
  <c r="H16" i="103"/>
  <c r="G23" i="105"/>
  <c r="G21" i="113"/>
  <c r="G22" i="113"/>
  <c r="G21" i="106"/>
  <c r="G22" i="105"/>
  <c r="G16" i="103"/>
  <c r="G22" i="104"/>
  <c r="H17" i="113"/>
  <c r="G17" i="113"/>
  <c r="G15" i="113"/>
  <c r="G13" i="113"/>
  <c r="G18" i="113"/>
  <c r="G14" i="113"/>
  <c r="G12" i="113"/>
  <c r="H18" i="113"/>
  <c r="H14" i="113"/>
  <c r="H12" i="113"/>
  <c r="H15" i="113"/>
  <c r="H13" i="113"/>
  <c r="G20" i="113"/>
  <c r="H17" i="107"/>
  <c r="H20" i="113"/>
  <c r="O9" i="48"/>
  <c r="N9" i="48"/>
  <c r="N7" i="48"/>
  <c r="F33" i="103"/>
  <c r="F33" i="104"/>
  <c r="F33" i="106"/>
  <c r="F33" i="105"/>
  <c r="F33" i="107"/>
  <c r="G13" i="107"/>
  <c r="H14" i="107"/>
  <c r="H17" i="106"/>
  <c r="G14" i="107"/>
  <c r="H12" i="105"/>
  <c r="G20" i="106"/>
  <c r="G17" i="107"/>
  <c r="G16" i="106"/>
  <c r="G12" i="107"/>
  <c r="H16" i="106"/>
  <c r="H12" i="107"/>
  <c r="H20" i="105"/>
  <c r="H18" i="106"/>
  <c r="H15" i="106"/>
  <c r="H14" i="106"/>
  <c r="H13" i="106"/>
  <c r="H12" i="106"/>
  <c r="G18" i="106"/>
  <c r="G17" i="106"/>
  <c r="G15" i="106"/>
  <c r="G14" i="106"/>
  <c r="G13" i="106"/>
  <c r="G12" i="106"/>
  <c r="H21" i="105"/>
  <c r="H20" i="106"/>
  <c r="H17" i="104"/>
  <c r="H19" i="105"/>
  <c r="H17" i="105"/>
  <c r="H16" i="105"/>
  <c r="G21" i="104"/>
  <c r="G21" i="105"/>
  <c r="G20" i="105"/>
  <c r="G19" i="105"/>
  <c r="G18" i="105"/>
  <c r="G17" i="105"/>
  <c r="G16" i="105"/>
  <c r="G15" i="105"/>
  <c r="G14" i="105"/>
  <c r="G13" i="105"/>
  <c r="G12" i="105"/>
  <c r="H15" i="105"/>
  <c r="H14" i="105"/>
  <c r="H13" i="105"/>
  <c r="H16" i="104"/>
  <c r="H15" i="104"/>
  <c r="H13" i="103"/>
  <c r="H19" i="104"/>
  <c r="G13" i="103"/>
  <c r="G19" i="104"/>
  <c r="G17" i="104"/>
  <c r="G12" i="103"/>
  <c r="G18" i="104"/>
  <c r="G16" i="104"/>
  <c r="G15" i="104"/>
  <c r="G14" i="104"/>
  <c r="G13" i="104"/>
  <c r="G12" i="104"/>
  <c r="H15" i="103"/>
  <c r="H21" i="104"/>
  <c r="H14" i="104"/>
  <c r="H13" i="104"/>
  <c r="H12" i="104"/>
  <c r="H18" i="104"/>
  <c r="G15" i="103"/>
  <c r="H12" i="103"/>
  <c r="M7" i="48"/>
  <c r="N8" i="48"/>
  <c r="O8" i="48"/>
  <c r="N3" i="48"/>
  <c r="O3" i="48"/>
  <c r="N4" i="48"/>
  <c r="O4" i="48"/>
  <c r="N5" i="48"/>
  <c r="O5" i="48"/>
  <c r="N6" i="48"/>
  <c r="O6" i="48"/>
  <c r="H127" i="2"/>
  <c r="J39" i="131" s="1"/>
  <c r="K39" i="131" s="1"/>
  <c r="H5" i="2"/>
  <c r="H120" i="2"/>
  <c r="H14" i="2"/>
  <c r="H121" i="2"/>
  <c r="H28" i="2"/>
  <c r="H29" i="2"/>
  <c r="H34" i="2"/>
  <c r="H23" i="2"/>
  <c r="H6" i="2"/>
  <c r="H44" i="2"/>
  <c r="H17" i="2"/>
  <c r="H45" i="2"/>
  <c r="H2" i="2"/>
  <c r="H51" i="2"/>
  <c r="H33" i="2"/>
  <c r="H72" i="2"/>
  <c r="H65" i="2"/>
  <c r="H47" i="2"/>
  <c r="H7" i="2"/>
  <c r="H18" i="2"/>
  <c r="H98" i="2"/>
  <c r="H76" i="2"/>
  <c r="H78" i="2"/>
  <c r="H57" i="2"/>
  <c r="H80" i="2"/>
  <c r="H96" i="2"/>
  <c r="H97" i="2"/>
  <c r="H84" i="2"/>
  <c r="H103" i="2"/>
  <c r="H105" i="2"/>
  <c r="H110" i="2"/>
  <c r="H48" i="2"/>
  <c r="H31" i="2"/>
  <c r="H58" i="2"/>
  <c r="H60" i="2"/>
  <c r="H3" i="2"/>
  <c r="H61" i="2"/>
  <c r="H25" i="2"/>
  <c r="H111" i="2"/>
  <c r="H104" i="2"/>
  <c r="H95" i="2"/>
  <c r="H46" i="2"/>
  <c r="H20" i="2"/>
  <c r="H99" i="2"/>
  <c r="H30" i="2"/>
  <c r="H10" i="2"/>
  <c r="H70" i="2"/>
  <c r="H75" i="2"/>
  <c r="H88" i="2"/>
  <c r="H125" i="2"/>
  <c r="H100" i="2"/>
  <c r="H41" i="2"/>
  <c r="H56" i="2"/>
  <c r="H49" i="2"/>
  <c r="H67" i="2"/>
  <c r="H94" i="2"/>
  <c r="H74" i="2"/>
  <c r="H118" i="2"/>
  <c r="H8" i="2"/>
  <c r="H64" i="2"/>
  <c r="H122" i="2"/>
  <c r="J38" i="131" s="1"/>
  <c r="K38" i="131" s="1"/>
  <c r="H26" i="2"/>
  <c r="H35" i="2"/>
  <c r="H36" i="2"/>
  <c r="H37" i="2"/>
  <c r="H15" i="2"/>
  <c r="H101" i="2"/>
  <c r="H40" i="2"/>
  <c r="H82" i="2"/>
  <c r="H13" i="2"/>
  <c r="J51" i="113" l="1"/>
  <c r="K51" i="113" s="1"/>
  <c r="J39" i="104"/>
  <c r="K39" i="104" s="1"/>
  <c r="J50" i="131"/>
  <c r="K50" i="131" s="1"/>
  <c r="J51" i="131"/>
  <c r="K51" i="131" s="1"/>
  <c r="J46" i="131"/>
  <c r="K46" i="131" s="1"/>
  <c r="J52" i="113"/>
  <c r="K52" i="113" s="1"/>
  <c r="J42" i="106"/>
  <c r="K42" i="106" s="1"/>
  <c r="J45" i="106"/>
  <c r="K45" i="106" s="1"/>
  <c r="J39" i="106"/>
  <c r="K39" i="106" s="1"/>
  <c r="J49" i="131"/>
  <c r="K49" i="131" s="1"/>
  <c r="J48" i="131"/>
  <c r="K48" i="131" s="1"/>
  <c r="H33" i="131"/>
  <c r="J41" i="131"/>
  <c r="K41" i="131" s="1"/>
  <c r="J47" i="131"/>
  <c r="K47" i="131" s="1"/>
  <c r="J45" i="131"/>
  <c r="K45" i="131" s="1"/>
  <c r="J53" i="113"/>
  <c r="K53" i="113" s="1"/>
  <c r="J43" i="131"/>
  <c r="K43" i="131" s="1"/>
  <c r="G33" i="131"/>
  <c r="J15" i="131"/>
  <c r="J43" i="105"/>
  <c r="K43" i="105" s="1"/>
  <c r="J49" i="113"/>
  <c r="K49" i="113" s="1"/>
  <c r="J44" i="107"/>
  <c r="K44" i="107" s="1"/>
  <c r="J48" i="113"/>
  <c r="K48" i="113" s="1"/>
  <c r="P7" i="48"/>
  <c r="J47" i="105"/>
  <c r="K47" i="105" s="1"/>
  <c r="J58" i="113"/>
  <c r="K58" i="113" s="1"/>
  <c r="J47" i="113"/>
  <c r="K47" i="113" s="1"/>
  <c r="J45" i="113"/>
  <c r="K45" i="113" s="1"/>
  <c r="J38" i="113"/>
  <c r="K38" i="113" s="1"/>
  <c r="J43" i="113"/>
  <c r="K43" i="113" s="1"/>
  <c r="J40" i="113"/>
  <c r="K40" i="113" s="1"/>
  <c r="J54" i="113"/>
  <c r="K54" i="113" s="1"/>
  <c r="J56" i="113"/>
  <c r="K56" i="113" s="1"/>
  <c r="J57" i="113"/>
  <c r="K57" i="113" s="1"/>
  <c r="J46" i="105"/>
  <c r="K46" i="105" s="1"/>
  <c r="J50" i="113"/>
  <c r="K50" i="113" s="1"/>
  <c r="J41" i="113"/>
  <c r="K41" i="113" s="1"/>
  <c r="J60" i="113"/>
  <c r="K60" i="113" s="1"/>
  <c r="J60" i="106"/>
  <c r="K60" i="106" s="1"/>
  <c r="J49" i="103"/>
  <c r="K49" i="103" s="1"/>
  <c r="J49" i="105"/>
  <c r="K49" i="105" s="1"/>
  <c r="J49" i="104"/>
  <c r="K49" i="104" s="1"/>
  <c r="H33" i="107"/>
  <c r="P9" i="48"/>
  <c r="G33" i="113"/>
  <c r="H33" i="113"/>
  <c r="J58" i="106"/>
  <c r="K58" i="106" s="1"/>
  <c r="J47" i="103"/>
  <c r="K47" i="103" s="1"/>
  <c r="J47" i="104"/>
  <c r="K47" i="104" s="1"/>
  <c r="J45" i="105"/>
  <c r="K45" i="105" s="1"/>
  <c r="J49" i="107"/>
  <c r="K49" i="107" s="1"/>
  <c r="J49" i="106"/>
  <c r="K49" i="106" s="1"/>
  <c r="J38" i="104"/>
  <c r="K38" i="104" s="1"/>
  <c r="J38" i="103"/>
  <c r="K38" i="103" s="1"/>
  <c r="J38" i="107"/>
  <c r="K38" i="107" s="1"/>
  <c r="J39" i="105"/>
  <c r="K39" i="105" s="1"/>
  <c r="J46" i="106"/>
  <c r="K46" i="106" s="1"/>
  <c r="J43" i="106"/>
  <c r="K43" i="106" s="1"/>
  <c r="J40" i="106"/>
  <c r="K40" i="106" s="1"/>
  <c r="J37" i="106"/>
  <c r="K37" i="106" s="1"/>
  <c r="J41" i="107"/>
  <c r="K41" i="107" s="1"/>
  <c r="J51" i="106"/>
  <c r="K51" i="106" s="1"/>
  <c r="J41" i="104"/>
  <c r="K41" i="104" s="1"/>
  <c r="J40" i="103"/>
  <c r="K40" i="103" s="1"/>
  <c r="J41" i="105"/>
  <c r="K41" i="105" s="1"/>
  <c r="J39" i="107"/>
  <c r="K39" i="107" s="1"/>
  <c r="J39" i="103"/>
  <c r="K39" i="103" s="1"/>
  <c r="J53" i="106"/>
  <c r="K53" i="106" s="1"/>
  <c r="J40" i="105"/>
  <c r="K40" i="105" s="1"/>
  <c r="J40" i="107"/>
  <c r="K40" i="107" s="1"/>
  <c r="J40" i="104"/>
  <c r="K40" i="104" s="1"/>
  <c r="J41" i="103"/>
  <c r="K41" i="103" s="1"/>
  <c r="J37" i="107"/>
  <c r="K37" i="107" s="1"/>
  <c r="J38" i="105"/>
  <c r="K38" i="105" s="1"/>
  <c r="J48" i="106"/>
  <c r="K48" i="106" s="1"/>
  <c r="J37" i="104"/>
  <c r="K37" i="104" s="1"/>
  <c r="J37" i="103"/>
  <c r="K37" i="103" s="1"/>
  <c r="J47" i="107"/>
  <c r="K47" i="107" s="1"/>
  <c r="J45" i="104"/>
  <c r="K45" i="104" s="1"/>
  <c r="J56" i="106"/>
  <c r="K56" i="106" s="1"/>
  <c r="J45" i="103"/>
  <c r="K45" i="103" s="1"/>
  <c r="J42" i="105"/>
  <c r="K42" i="105" s="1"/>
  <c r="J42" i="103"/>
  <c r="K42" i="103" s="1"/>
  <c r="J42" i="107"/>
  <c r="K42" i="107" s="1"/>
  <c r="J52" i="106"/>
  <c r="K52" i="106" s="1"/>
  <c r="J42" i="104"/>
  <c r="K42" i="104" s="1"/>
  <c r="J55" i="106"/>
  <c r="K55" i="106" s="1"/>
  <c r="J44" i="103"/>
  <c r="K44" i="103" s="1"/>
  <c r="J46" i="107"/>
  <c r="K46" i="107" s="1"/>
  <c r="J44" i="104"/>
  <c r="K44" i="104" s="1"/>
  <c r="J45" i="107"/>
  <c r="K45" i="107" s="1"/>
  <c r="J43" i="107"/>
  <c r="K43" i="107" s="1"/>
  <c r="J43" i="104"/>
  <c r="K43" i="104" s="1"/>
  <c r="J54" i="106"/>
  <c r="K54" i="106" s="1"/>
  <c r="J43" i="103"/>
  <c r="K43" i="103" s="1"/>
  <c r="J37" i="105"/>
  <c r="K37" i="105" s="1"/>
  <c r="J47" i="106"/>
  <c r="K47" i="106" s="1"/>
  <c r="J44" i="106"/>
  <c r="K44" i="106" s="1"/>
  <c r="J41" i="106"/>
  <c r="K41" i="106" s="1"/>
  <c r="J38" i="106"/>
  <c r="K38" i="106" s="1"/>
  <c r="J50" i="106"/>
  <c r="K50" i="106" s="1"/>
  <c r="J48" i="107"/>
  <c r="K48" i="107" s="1"/>
  <c r="J57" i="106"/>
  <c r="K57" i="106" s="1"/>
  <c r="J46" i="104"/>
  <c r="K46" i="104" s="1"/>
  <c r="J46" i="103"/>
  <c r="K46" i="103" s="1"/>
  <c r="H33" i="103"/>
  <c r="G33" i="103"/>
  <c r="H33" i="105"/>
  <c r="G33" i="107"/>
  <c r="G33" i="106"/>
  <c r="H33" i="106"/>
  <c r="G33" i="105"/>
  <c r="G33" i="104"/>
  <c r="H33" i="104"/>
  <c r="P3" i="48"/>
  <c r="P6" i="48"/>
  <c r="P5" i="48"/>
  <c r="P8" i="48"/>
  <c r="P4" i="48"/>
  <c r="I13" i="131" l="1"/>
  <c r="J22" i="105"/>
  <c r="J18" i="105"/>
  <c r="K63" i="131"/>
  <c r="E66" i="131" s="1"/>
  <c r="K66" i="131" s="1"/>
  <c r="J13" i="131"/>
  <c r="J18" i="131"/>
  <c r="I15" i="131"/>
  <c r="K15" i="131" s="1"/>
  <c r="I14" i="131"/>
  <c r="I12" i="131"/>
  <c r="J14" i="131"/>
  <c r="J12" i="131"/>
  <c r="I18" i="131"/>
  <c r="J19" i="113"/>
  <c r="K63" i="113"/>
  <c r="E66" i="113" s="1"/>
  <c r="K66" i="113" s="1"/>
  <c r="J16" i="113"/>
  <c r="I23" i="105"/>
  <c r="J21" i="113"/>
  <c r="J22" i="113"/>
  <c r="J21" i="106"/>
  <c r="J23" i="105"/>
  <c r="J16" i="103"/>
  <c r="J22" i="104"/>
  <c r="I22" i="113"/>
  <c r="I21" i="106"/>
  <c r="I22" i="105"/>
  <c r="I16" i="103"/>
  <c r="I22" i="104"/>
  <c r="I20" i="113"/>
  <c r="I21" i="113"/>
  <c r="K21" i="113" s="1"/>
  <c r="I19" i="113"/>
  <c r="I16" i="113"/>
  <c r="J17" i="113"/>
  <c r="J17" i="107"/>
  <c r="J20" i="113"/>
  <c r="K20" i="113" s="1"/>
  <c r="J18" i="113"/>
  <c r="J14" i="113"/>
  <c r="J12" i="113"/>
  <c r="J15" i="113"/>
  <c r="J13" i="113"/>
  <c r="I17" i="113"/>
  <c r="I15" i="113"/>
  <c r="I13" i="113"/>
  <c r="I18" i="113"/>
  <c r="I14" i="113"/>
  <c r="I12" i="113"/>
  <c r="I14" i="107"/>
  <c r="I17" i="106"/>
  <c r="I14" i="106"/>
  <c r="I12" i="106"/>
  <c r="I19" i="105"/>
  <c r="I13" i="103"/>
  <c r="I17" i="104"/>
  <c r="I18" i="106"/>
  <c r="I15" i="106"/>
  <c r="I13" i="106"/>
  <c r="I20" i="105"/>
  <c r="I19" i="104"/>
  <c r="K63" i="103"/>
  <c r="E66" i="103" s="1"/>
  <c r="K66" i="103" s="1"/>
  <c r="K63" i="105"/>
  <c r="E66" i="105" s="1"/>
  <c r="K66" i="105" s="1"/>
  <c r="K63" i="107"/>
  <c r="E66" i="107" s="1"/>
  <c r="K66" i="107" s="1"/>
  <c r="K63" i="104"/>
  <c r="E66" i="104" s="1"/>
  <c r="K66" i="104" s="1"/>
  <c r="K63" i="106"/>
  <c r="E66" i="106" s="1"/>
  <c r="K66" i="106" s="1"/>
  <c r="J14" i="107"/>
  <c r="I13" i="107"/>
  <c r="J17" i="106"/>
  <c r="J13" i="107"/>
  <c r="J12" i="105"/>
  <c r="I16" i="106"/>
  <c r="I12" i="107"/>
  <c r="J16" i="106"/>
  <c r="J12" i="107"/>
  <c r="I20" i="106"/>
  <c r="I17" i="107"/>
  <c r="J21" i="105"/>
  <c r="J20" i="106"/>
  <c r="K20" i="106" s="1"/>
  <c r="J20" i="105"/>
  <c r="J18" i="106"/>
  <c r="J15" i="106"/>
  <c r="J14" i="106"/>
  <c r="J13" i="106"/>
  <c r="J12" i="106"/>
  <c r="J17" i="104"/>
  <c r="J19" i="105"/>
  <c r="J17" i="105"/>
  <c r="J16" i="105"/>
  <c r="I21" i="104"/>
  <c r="I21" i="105"/>
  <c r="J15" i="105"/>
  <c r="J14" i="105"/>
  <c r="J13" i="105"/>
  <c r="I18" i="105"/>
  <c r="I17" i="105"/>
  <c r="I16" i="105"/>
  <c r="I15" i="105"/>
  <c r="I14" i="105"/>
  <c r="I13" i="105"/>
  <c r="I12" i="105"/>
  <c r="J16" i="104"/>
  <c r="J15" i="104"/>
  <c r="J18" i="104"/>
  <c r="J15" i="103"/>
  <c r="J21" i="104"/>
  <c r="J14" i="104"/>
  <c r="J13" i="104"/>
  <c r="J12" i="104"/>
  <c r="J13" i="103"/>
  <c r="J19" i="104"/>
  <c r="I12" i="103"/>
  <c r="I18" i="104"/>
  <c r="I16" i="104"/>
  <c r="I15" i="104"/>
  <c r="I14" i="104"/>
  <c r="I13" i="104"/>
  <c r="I12" i="104"/>
  <c r="J12" i="103"/>
  <c r="I15" i="103"/>
  <c r="K13" i="131" l="1"/>
  <c r="K22" i="105"/>
  <c r="K18" i="105"/>
  <c r="K18" i="131"/>
  <c r="J33" i="131"/>
  <c r="K14" i="131"/>
  <c r="I33" i="131"/>
  <c r="K12" i="131"/>
  <c r="K14" i="106"/>
  <c r="K19" i="104"/>
  <c r="K15" i="113"/>
  <c r="K19" i="105"/>
  <c r="K13" i="105"/>
  <c r="K17" i="107"/>
  <c r="K14" i="105"/>
  <c r="K13" i="103"/>
  <c r="K16" i="106"/>
  <c r="K13" i="106"/>
  <c r="K19" i="113"/>
  <c r="K20" i="105"/>
  <c r="K16" i="113"/>
  <c r="K16" i="103"/>
  <c r="K15" i="106"/>
  <c r="K18" i="106"/>
  <c r="K17" i="106"/>
  <c r="K22" i="104"/>
  <c r="K18" i="104"/>
  <c r="K14" i="113"/>
  <c r="K18" i="113"/>
  <c r="K15" i="105"/>
  <c r="K14" i="107"/>
  <c r="K15" i="104"/>
  <c r="K16" i="104"/>
  <c r="K17" i="104"/>
  <c r="K21" i="106"/>
  <c r="K22" i="113"/>
  <c r="K23" i="105"/>
  <c r="K13" i="113"/>
  <c r="K17" i="113"/>
  <c r="I33" i="113"/>
  <c r="K12" i="113"/>
  <c r="J33" i="113"/>
  <c r="J33" i="107"/>
  <c r="K21" i="105"/>
  <c r="I33" i="106"/>
  <c r="K16" i="105"/>
  <c r="K13" i="107"/>
  <c r="K15" i="103"/>
  <c r="J33" i="103"/>
  <c r="K13" i="104"/>
  <c r="K21" i="104"/>
  <c r="K17" i="105"/>
  <c r="J33" i="105"/>
  <c r="I33" i="107"/>
  <c r="K12" i="107"/>
  <c r="J33" i="106"/>
  <c r="K12" i="106"/>
  <c r="I33" i="105"/>
  <c r="K12" i="105"/>
  <c r="K12" i="103"/>
  <c r="K14" i="104"/>
  <c r="J33" i="104"/>
  <c r="I33" i="104"/>
  <c r="K12" i="104"/>
  <c r="I33" i="103"/>
  <c r="K75" i="103" l="1"/>
  <c r="K75" i="107"/>
  <c r="K75" i="106"/>
  <c r="K75" i="131"/>
  <c r="K75" i="105"/>
  <c r="K75" i="104"/>
  <c r="K75" i="113"/>
  <c r="K33" i="131"/>
  <c r="K33" i="107"/>
  <c r="K33" i="106"/>
  <c r="K33" i="113"/>
  <c r="K33" i="105"/>
  <c r="K33" i="104"/>
  <c r="K33" i="103"/>
  <c r="K65" i="104" l="1"/>
  <c r="K67" i="104" s="1"/>
  <c r="K72" i="104" s="1"/>
  <c r="K74" i="104" s="1"/>
  <c r="K65" i="113"/>
  <c r="K67" i="113" s="1"/>
  <c r="K72" i="113" s="1"/>
  <c r="K74" i="113" s="1"/>
  <c r="K65" i="106"/>
  <c r="K67" i="106" s="1"/>
  <c r="K72" i="106" s="1"/>
  <c r="K74" i="106" s="1"/>
  <c r="K65" i="103"/>
  <c r="K67" i="103" s="1"/>
  <c r="K72" i="103" s="1"/>
  <c r="K74" i="103" s="1"/>
  <c r="K65" i="107"/>
  <c r="K67" i="107" s="1"/>
  <c r="K72" i="107" s="1"/>
  <c r="K74" i="107" s="1"/>
  <c r="K65" i="105"/>
  <c r="K67" i="105" s="1"/>
  <c r="K72" i="105" s="1"/>
  <c r="K74" i="105" s="1"/>
  <c r="K65" i="131"/>
  <c r="K67" i="131" s="1"/>
  <c r="K72" i="131" s="1"/>
  <c r="K74" i="131" s="1"/>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8" authorId="0" shapeId="0">
      <text>
        <r>
          <rPr>
            <b/>
            <sz val="8"/>
            <color indexed="81"/>
            <rFont val="Tahoma"/>
            <family val="2"/>
          </rPr>
          <t>Roger Wilson:</t>
        </r>
        <r>
          <rPr>
            <sz val="8"/>
            <color indexed="81"/>
            <rFont val="Tahoma"/>
            <family val="2"/>
          </rPr>
          <t xml:space="preserve">
Original $101,955
</t>
        </r>
      </text>
    </comment>
    <comment ref="E56" authorId="0" shapeId="0">
      <text>
        <r>
          <rPr>
            <b/>
            <sz val="8"/>
            <color indexed="81"/>
            <rFont val="Tahoma"/>
            <family val="2"/>
          </rPr>
          <t>Roger Wilson:</t>
        </r>
        <r>
          <rPr>
            <sz val="8"/>
            <color indexed="81"/>
            <rFont val="Tahoma"/>
            <family val="2"/>
          </rPr>
          <t xml:space="preserve">
List from Web 20,553</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 ref="E72" authorId="0" shapeId="0">
      <text>
        <r>
          <rPr>
            <b/>
            <sz val="8"/>
            <color indexed="81"/>
            <rFont val="Tahoma"/>
            <family val="2"/>
          </rPr>
          <t>Roger Wilson:</t>
        </r>
        <r>
          <rPr>
            <sz val="8"/>
            <color indexed="81"/>
            <rFont val="Tahoma"/>
            <family val="2"/>
          </rPr>
          <t xml:space="preserve">
Original $101,955
</t>
        </r>
      </text>
    </comment>
  </commentList>
</comments>
</file>

<file path=xl/sharedStrings.xml><?xml version="1.0" encoding="utf-8"?>
<sst xmlns="http://schemas.openxmlformats.org/spreadsheetml/2006/main" count="1965" uniqueCount="599">
  <si>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</si>
  <si>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</si>
  <si>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</si>
  <si>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</si>
  <si>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</si>
  <si>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</si>
  <si>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</si>
  <si>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</si>
  <si>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</si>
  <si>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</si>
  <si>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</si>
  <si>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</si>
  <si>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</si>
  <si>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</si>
  <si>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</si>
  <si>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</si>
  <si>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</si>
  <si>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</si>
  <si>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</si>
  <si>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</si>
  <si>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</si>
  <si>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</si>
  <si>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</si>
  <si>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</si>
  <si>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Crop Oil Concentrate</t>
  </si>
  <si>
    <t>Dicamba</t>
  </si>
  <si>
    <t>Edible Beans</t>
  </si>
  <si>
    <t>Other</t>
  </si>
  <si>
    <t>Expert</t>
  </si>
  <si>
    <t>Glyphosate w/Surf</t>
  </si>
  <si>
    <t>Grass Drill</t>
  </si>
  <si>
    <t>Rental</t>
  </si>
  <si>
    <t>Grass Seed</t>
  </si>
  <si>
    <t>Haul &amp; Apply Manure</t>
  </si>
  <si>
    <t>Haul Beets</t>
  </si>
  <si>
    <t>Fungicide</t>
  </si>
  <si>
    <t>Landmaster BW</t>
  </si>
  <si>
    <t>Lorsban 15 G</t>
  </si>
  <si>
    <t>Lorsban 4 E</t>
  </si>
  <si>
    <t>Millet</t>
  </si>
  <si>
    <t>Move Cattle</t>
  </si>
  <si>
    <t>NIS</t>
  </si>
  <si>
    <t>Oats</t>
  </si>
  <si>
    <t>Peak</t>
  </si>
  <si>
    <t xml:space="preserve">Pursuit </t>
  </si>
  <si>
    <t>Regent 4 SC</t>
  </si>
  <si>
    <t>RR Soybeans</t>
  </si>
  <si>
    <t>Select Max</t>
  </si>
  <si>
    <t>Sorghum Safened/Insect</t>
  </si>
  <si>
    <t>Sorghum Sudan</t>
  </si>
  <si>
    <t>Spirit</t>
  </si>
  <si>
    <t>Spray</t>
  </si>
  <si>
    <t>Sugar Beets RR Poncho</t>
  </si>
  <si>
    <t>Sunflower</t>
  </si>
  <si>
    <t>Tilt</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</si>
  <si>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</si>
  <si>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</si>
  <si>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</si>
  <si>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</si>
  <si>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</si>
  <si>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</si>
  <si>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</si>
  <si>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</si>
  <si>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</si>
  <si>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</si>
  <si>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</si>
  <si>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</si>
  <si>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</si>
  <si>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</si>
  <si>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</si>
  <si>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</si>
  <si>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Field Operations</t>
  </si>
  <si>
    <t>Repairs</t>
  </si>
  <si>
    <t>Power</t>
  </si>
  <si>
    <t>Total for Field Operations</t>
  </si>
  <si>
    <t>Imp.</t>
  </si>
  <si>
    <t>Wage Rate</t>
  </si>
  <si>
    <t>Diesel Price</t>
  </si>
  <si>
    <t>Elect. Price</t>
  </si>
  <si>
    <t>/ Hr</t>
  </si>
  <si>
    <t>/ kwh</t>
  </si>
  <si>
    <t>Materials &amp; Services</t>
  </si>
  <si>
    <t>Percent Acres Applied</t>
  </si>
  <si>
    <t xml:space="preserve">Total </t>
  </si>
  <si>
    <t>Total Materials &amp; Services</t>
  </si>
  <si>
    <t>Operation Index</t>
  </si>
  <si>
    <t xml:space="preserve">Application </t>
  </si>
  <si>
    <t>Rate</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</si>
  <si>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</si>
  <si>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</si>
  <si>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</si>
  <si>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</si>
  <si>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</si>
  <si>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</si>
  <si>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</si>
  <si>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</si>
  <si>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</si>
  <si>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</si>
  <si>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</si>
  <si>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</si>
  <si>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</si>
  <si>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</si>
  <si>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</si>
  <si>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</si>
  <si>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</si>
  <si>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</si>
  <si>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</si>
  <si>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</si>
  <si>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</si>
  <si>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</si>
  <si>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</si>
  <si>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</si>
  <si>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</si>
  <si>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</si>
  <si>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</si>
  <si>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</si>
  <si>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</si>
  <si>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</si>
  <si>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</si>
  <si>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</si>
  <si>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</si>
  <si>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</si>
  <si>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</si>
  <si>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</si>
  <si>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</si>
  <si>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</si>
  <si>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</si>
  <si>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</si>
  <si>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</si>
  <si>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</si>
  <si>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</si>
  <si>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</si>
  <si>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</si>
  <si>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</si>
  <si>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</si>
  <si>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</si>
  <si>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</si>
  <si>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</si>
  <si>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</si>
  <si>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</si>
  <si>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</si>
  <si>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</si>
  <si>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</si>
  <si>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</si>
  <si>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</si>
  <si>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</si>
  <si>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</si>
  <si>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</si>
  <si>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</si>
  <si>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</si>
  <si>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</si>
  <si>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</si>
  <si>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</si>
  <si>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</si>
  <si>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</si>
  <si>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</si>
  <si>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</si>
  <si>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</si>
  <si>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</si>
  <si>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</si>
  <si>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</si>
  <si>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</si>
  <si>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</si>
  <si>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</si>
  <si>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</si>
  <si>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</si>
  <si>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</si>
  <si>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</si>
  <si>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</si>
  <si>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</si>
  <si>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</si>
  <si>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</si>
  <si>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</si>
  <si>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</si>
  <si>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</si>
  <si>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</si>
  <si>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</si>
  <si>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</si>
  <si>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</si>
  <si>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</si>
  <si>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</si>
  <si>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</si>
  <si>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</si>
  <si>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</si>
  <si>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</si>
  <si>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</si>
  <si>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</si>
  <si>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</si>
  <si>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</si>
  <si>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</si>
  <si>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</si>
  <si>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</si>
  <si>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</si>
  <si>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</si>
  <si>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</si>
  <si>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</si>
  <si>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</si>
  <si>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</si>
  <si>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</si>
  <si>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</si>
  <si>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</si>
  <si>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</si>
  <si>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</si>
  <si>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</si>
  <si>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</si>
  <si>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</si>
  <si>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</si>
  <si>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</si>
  <si>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</si>
  <si>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</si>
  <si>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</si>
  <si>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</si>
  <si>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</si>
  <si>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</si>
  <si>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</si>
  <si>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</si>
  <si>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</si>
  <si>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</si>
  <si>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</si>
  <si>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</si>
  <si>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</si>
  <si>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</si>
  <si>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</si>
  <si>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</si>
  <si>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</si>
  <si>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</si>
  <si>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</si>
  <si>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</si>
  <si>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</si>
  <si>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</si>
  <si>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</si>
  <si>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</si>
  <si>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</si>
  <si>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</si>
  <si>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</si>
  <si>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</si>
  <si>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</si>
  <si>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</si>
  <si>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</si>
  <si>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</si>
  <si>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</si>
  <si>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</si>
  <si>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</si>
  <si>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</si>
  <si>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</si>
  <si>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</si>
  <si>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</si>
  <si>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</si>
  <si>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</si>
  <si>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</si>
  <si>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</si>
  <si>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</si>
  <si>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</si>
  <si>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</si>
  <si>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</si>
  <si>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</si>
  <si>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</si>
  <si>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</si>
  <si>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</si>
  <si>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</si>
  <si>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</si>
  <si>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</si>
  <si>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</si>
  <si>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</si>
  <si>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</si>
  <si>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</si>
  <si>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</si>
  <si>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</si>
  <si>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</si>
  <si>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</si>
  <si>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</si>
  <si>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</si>
  <si>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</si>
  <si>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</si>
  <si>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</si>
  <si>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Ditch Irrigation</t>
  </si>
  <si>
    <t>Double Windrows</t>
  </si>
  <si>
    <t>Drill</t>
  </si>
  <si>
    <t>Dry Grain</t>
  </si>
  <si>
    <t>Fallow Master</t>
  </si>
  <si>
    <t>Field Cultivation</t>
  </si>
  <si>
    <t>Harrow</t>
  </si>
  <si>
    <t>Lift Beets</t>
  </si>
  <si>
    <t>No-Till Drill</t>
  </si>
  <si>
    <t>Pickett Windrowers</t>
  </si>
  <si>
    <t>Plant</t>
  </si>
  <si>
    <t>Plant Narrow Row</t>
  </si>
  <si>
    <t>Plant No-Till</t>
  </si>
  <si>
    <t>Ridge Cultivation</t>
  </si>
  <si>
    <t>Rod Weeder</t>
  </si>
  <si>
    <t>Roll</t>
  </si>
  <si>
    <t>Row Crop Cultivation</t>
  </si>
  <si>
    <t>Seeder/Packer</t>
  </si>
  <si>
    <t>Subsoil</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</si>
  <si>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</si>
  <si>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</si>
  <si>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</si>
  <si>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</si>
  <si>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</si>
  <si>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</si>
  <si>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</si>
  <si>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</si>
  <si>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</si>
  <si>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</si>
  <si>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</si>
  <si>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</si>
  <si>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</si>
  <si>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</si>
  <si>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</si>
  <si>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</si>
  <si>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</si>
  <si>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</si>
  <si>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</si>
  <si>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</si>
  <si>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</si>
  <si>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</si>
  <si>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</si>
  <si>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</si>
  <si>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</si>
  <si>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</si>
  <si>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</si>
  <si>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</si>
  <si>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</si>
  <si>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</si>
  <si>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</si>
  <si>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</si>
  <si>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</si>
  <si>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</si>
  <si>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</si>
  <si>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</si>
  <si>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</si>
  <si>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</si>
  <si>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</si>
  <si>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</si>
  <si>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</si>
  <si>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</si>
  <si>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</si>
  <si>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</si>
  <si>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</si>
  <si>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</si>
  <si>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</si>
  <si>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</si>
  <si>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</si>
  <si>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</si>
  <si>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</si>
  <si>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</si>
  <si>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</si>
  <si>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</si>
  <si>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</si>
  <si>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</si>
  <si>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</si>
  <si>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</si>
  <si>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</si>
  <si>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</si>
  <si>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
  </si>
  <si>
    <t xml:space="preserve">Wagon - Forage </t>
  </si>
  <si>
    <t>Spartan 4F</t>
  </si>
  <si>
    <t>Diesel Pump for Pipe</t>
  </si>
  <si>
    <t>Balance Flexx</t>
  </si>
  <si>
    <t>Your Estimate</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</si>
  <si>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</si>
  <si>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</si>
  <si>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</si>
  <si>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</si>
  <si>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</si>
  <si>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</si>
  <si>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</si>
  <si>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</si>
  <si>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</si>
  <si>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</si>
  <si>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</si>
  <si>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</si>
  <si>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</si>
  <si>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</si>
  <si>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</si>
  <si>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</si>
  <si>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</si>
  <si>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</si>
  <si>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</si>
  <si>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</si>
  <si>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</si>
  <si>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</si>
  <si>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
  </si>
  <si>
    <t>Total Cost per Acre Including Overhead</t>
  </si>
  <si>
    <t>Warrior II/Zeon</t>
  </si>
  <si>
    <t>Lube Factor</t>
  </si>
  <si>
    <t>Diesel &amp; Lube</t>
  </si>
  <si>
    <t xml:space="preserve">Farm tractors (80-150hp) </t>
  </si>
  <si>
    <t>bushel</t>
  </si>
  <si>
    <t>gallon</t>
  </si>
  <si>
    <t>pound</t>
  </si>
  <si>
    <t>ounce</t>
  </si>
  <si>
    <t>pint</t>
  </si>
  <si>
    <t>quart</t>
  </si>
  <si>
    <t>hour</t>
  </si>
  <si>
    <t>acre-inch</t>
  </si>
  <si>
    <t>lbs N</t>
  </si>
  <si>
    <t>Corrugate</t>
  </si>
  <si>
    <t>32-0-0</t>
  </si>
  <si>
    <t>Basagran</t>
  </si>
  <si>
    <t>Asana XL</t>
  </si>
  <si>
    <t>Scouting Irrigated Corn</t>
  </si>
  <si>
    <t>Scouting Sugar Beets</t>
  </si>
  <si>
    <t>Scouting Grain Sorghum</t>
  </si>
  <si>
    <t>Overhead Cost per Acre</t>
  </si>
  <si>
    <t>none</t>
  </si>
  <si>
    <t>ai</t>
  </si>
  <si>
    <t>Acre</t>
  </si>
  <si>
    <t>Raptor</t>
  </si>
  <si>
    <t>Outlook</t>
  </si>
  <si>
    <t>Prowl H2O</t>
  </si>
  <si>
    <t>Copper</t>
  </si>
  <si>
    <t>Mustang Max EC</t>
  </si>
  <si>
    <t>Brigade 2EC</t>
  </si>
  <si>
    <t>Index</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</si>
  <si>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</si>
  <si>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</si>
  <si>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</si>
  <si>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</si>
  <si>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</si>
  <si>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</si>
  <si>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</si>
  <si>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</si>
  <si>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</si>
  <si>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</si>
  <si>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</si>
  <si>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</si>
  <si>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</si>
  <si>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</si>
  <si>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Plant Pathologist - Wheat and Ornamental</t>
  </si>
  <si>
    <t>Plant Pathologist - Corn and Sorghum</t>
  </si>
  <si>
    <t>Plant Pathologist - Soybean and Turf</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</si>
  <si>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</si>
  <si>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</si>
  <si>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</si>
  <si>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</si>
  <si>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</si>
  <si>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</si>
  <si>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</si>
  <si>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</si>
  <si>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</si>
  <si>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</si>
  <si>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</si>
  <si>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</si>
  <si>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</si>
  <si>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</si>
  <si>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</si>
  <si>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</si>
  <si>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</si>
  <si>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</si>
  <si>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</si>
  <si>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</si>
  <si>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</si>
  <si>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</si>
  <si>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</si>
  <si>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</si>
  <si>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</si>
  <si>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</si>
  <si>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</si>
  <si>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</si>
  <si>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</si>
  <si>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</si>
  <si>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</si>
  <si>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</si>
  <si>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</si>
  <si>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</si>
  <si>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</si>
  <si>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</si>
  <si>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</si>
  <si>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</si>
  <si>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</si>
  <si>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</si>
  <si>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Roundup WeatherMax</t>
  </si>
  <si>
    <t>Corn Bt, ECB, RW &amp; RR2</t>
  </si>
  <si>
    <t>Corn RR2</t>
  </si>
  <si>
    <t>Capture LFR</t>
  </si>
  <si>
    <t>Atrazine 90 DF</t>
  </si>
  <si>
    <t>32-0-0 (Applied by R2)</t>
  </si>
  <si>
    <t>Stratego YLD</t>
  </si>
  <si>
    <t>Huskie</t>
  </si>
  <si>
    <t>Priaxor</t>
  </si>
  <si>
    <t xml:space="preserve">Corn SmartStax RIB Complete </t>
  </si>
  <si>
    <t>Quilt Xcel</t>
  </si>
  <si>
    <t>Irrigation District O&amp;M Charge</t>
  </si>
  <si>
    <t>Plow</t>
  </si>
  <si>
    <t>Roller Harrow</t>
  </si>
  <si>
    <t>Plow - Moldboard</t>
  </si>
  <si>
    <t xml:space="preserve">Plows </t>
  </si>
  <si>
    <t>Spray (Prior Year Stubble)</t>
  </si>
  <si>
    <t>Velpar 75DF</t>
  </si>
  <si>
    <t>Bu</t>
  </si>
  <si>
    <t>Combine Small Grain</t>
  </si>
  <si>
    <t>32-0-0 (Applied by Pivot)</t>
  </si>
  <si>
    <t>No-Till</t>
  </si>
  <si>
    <t>Vida</t>
  </si>
  <si>
    <t>Peas</t>
  </si>
  <si>
    <t>Pea Seed Innoculent</t>
  </si>
  <si>
    <t>Sharpen</t>
  </si>
  <si>
    <t>Combine Sunflowers</t>
  </si>
  <si>
    <t>Rod Weeder &amp; Fertilizer</t>
  </si>
  <si>
    <t>Spray Fertilizer</t>
  </si>
  <si>
    <t>Dry 2 Points Removed</t>
  </si>
  <si>
    <t>Pivot Irrigated</t>
  </si>
  <si>
    <t>800 GPM 35 PSI</t>
  </si>
  <si>
    <t>Corn ECB &amp; RR2</t>
  </si>
  <si>
    <t xml:space="preserve">Does Crop Follow a Legume? </t>
  </si>
  <si>
    <t>Yes</t>
  </si>
  <si>
    <t>No</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</si>
  <si>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</si>
  <si>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</si>
  <si>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</si>
  <si>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</si>
  <si>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</si>
  <si>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</si>
  <si>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</si>
  <si>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</si>
  <si>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</si>
  <si>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</si>
  <si>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</si>
  <si>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</si>
  <si>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</si>
  <si>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</si>
  <si>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</si>
  <si>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</si>
  <si>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</si>
  <si>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</si>
  <si>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</si>
  <si>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</si>
  <si>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</si>
  <si>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</si>
  <si>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</si>
  <si>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</si>
  <si>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</si>
  <si>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Lorsban Advanced</t>
  </si>
  <si>
    <t>Dryland (Eastern)</t>
  </si>
  <si>
    <t>Spray Spring Burndown Herbicide</t>
  </si>
  <si>
    <t>Acuron</t>
  </si>
  <si>
    <t>Sorghum Sudan Brown Midrib</t>
  </si>
  <si>
    <t>Scouting Dryland Wheat</t>
  </si>
  <si>
    <t>Scouting Irrigated Wheat</t>
  </si>
  <si>
    <t>acre/inches</t>
  </si>
  <si>
    <t>Rotary Hoe</t>
  </si>
  <si>
    <t>Large Round Bale</t>
  </si>
  <si>
    <t>Large Square Bale</t>
  </si>
  <si>
    <t>Load Large Square</t>
  </si>
  <si>
    <t>Move Large Round</t>
  </si>
  <si>
    <t>Spread Fertilizer</t>
  </si>
  <si>
    <t>Bale Small Square</t>
  </si>
  <si>
    <t>Stack Small Square</t>
  </si>
  <si>
    <t>UAN</t>
  </si>
  <si>
    <t>Stubble Mulch Fallow</t>
  </si>
  <si>
    <t>Wheat after Row Crop, 50 bu Yield Goal</t>
  </si>
  <si>
    <t>No-Till Fallow</t>
  </si>
  <si>
    <t>One Crop in Two Years, 60 bu Yield Goal</t>
  </si>
  <si>
    <t>One Crop in Two Years, 55 bu Yield Goal</t>
  </si>
  <si>
    <t>Clean Till Fallow</t>
  </si>
  <si>
    <t>No-Till Wheat before Corn</t>
  </si>
  <si>
    <t>Two Crops in Three Years, 65 bu Yield Goal</t>
  </si>
  <si>
    <t>No-Till after Beans</t>
  </si>
  <si>
    <t>100 bu Yield Goal</t>
  </si>
  <si>
    <t>in Rotation</t>
  </si>
  <si>
    <t>One Crop in Two Years, 50 bu Yield Goal</t>
  </si>
  <si>
    <t>Total listed costs for Field Operations and Materials and Services</t>
  </si>
  <si>
    <t>Pipe D 125' Lift</t>
  </si>
  <si>
    <t>Pivot D 125' Lift</t>
  </si>
  <si>
    <t>Pivot D 125' Lift w/fertigation</t>
  </si>
  <si>
    <t>Pivot E 125' Lift</t>
  </si>
  <si>
    <t>Pivot E 125' Lift w/fertigation</t>
  </si>
  <si>
    <t>Disk</t>
  </si>
  <si>
    <t>Drill w/ Fertilizer</t>
  </si>
  <si>
    <t>Ridge Plant and Band Herbicide</t>
  </si>
  <si>
    <t>Spray Fertilizer and Herbicide</t>
  </si>
  <si>
    <t>Spread Manure</t>
  </si>
  <si>
    <t>Swath/Condition Hay</t>
  </si>
  <si>
    <t>Wheat (Certified and Treated)</t>
  </si>
  <si>
    <t>Twine Large Round</t>
  </si>
  <si>
    <t>Twine Large Square</t>
  </si>
  <si>
    <t>Twine Small Square</t>
  </si>
  <si>
    <t>Fence/Water Repairs</t>
  </si>
  <si>
    <t>Scouting Irrigated Soybeans</t>
  </si>
  <si>
    <t>Interest on Operations Capital</t>
  </si>
  <si>
    <t>Scouting Dry Beans</t>
  </si>
  <si>
    <t>Alfalfa RR w/Inoculant</t>
  </si>
  <si>
    <t>Corn Bt &amp; ECB</t>
  </si>
  <si>
    <t>Corn Bt, ECB &amp; RW</t>
  </si>
  <si>
    <t>k seed</t>
  </si>
  <si>
    <t>Haul Grain Bushels</t>
  </si>
  <si>
    <t>Robert J. Wright</t>
  </si>
  <si>
    <t>Tamra A. Jackson-Ziems</t>
  </si>
  <si>
    <t>Loren J. Giesler</t>
  </si>
  <si>
    <t>Stephen N. Wegulo</t>
  </si>
  <si>
    <t>Extension Entomologist</t>
  </si>
  <si>
    <t>Paul J. Jasa</t>
  </si>
  <si>
    <t>Extension Biological Systems Engineer</t>
  </si>
  <si>
    <t>James A. Schild</t>
  </si>
  <si>
    <t>Extension Educator in Scotts Bluff and Morrill Counties</t>
  </si>
  <si>
    <r>
      <rPr>
        <b/>
        <sz val="10"/>
        <rFont val="Times New Roman"/>
        <family val="1"/>
      </rPr>
      <t>Overhead</t>
    </r>
    <r>
      <rPr>
        <sz val="10"/>
        <rFont val="Times New Roman"/>
        <family val="1"/>
      </rPr>
      <t xml:space="preserve">    (accounting, liability insurance, vehicle cost, office expense)</t>
    </r>
  </si>
  <si>
    <t>/ gal</t>
  </si>
  <si>
    <t>*Fungicide for rust                                            **Insecticide for aphids and army cutworm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</si>
</sst>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quot;$&quot;* #,##0_);_(&quot;$&quot;* \(#,##0\);_(&quot;$&quot;* &quot;-&quot;??_);_(@_)"/>
    <numFmt numFmtId="168" formatCode="0.000"/>
  </numFmts>
  <fonts count="35" x14ac:knownFonts="1">
    <font>
      <sz val="10"/>
      <color theme="1"/>
      <name val="Arial"/>
      <family val="2"/>
    </font>
    <font>
      <sz val="10"/>
      <color theme="1"/>
      <name val="Arial"/>
      <family val="2"/>
    </font>
    <font>
      <b/>
      <sz val="10"/>
      <color theme="1"/>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b/>
      <sz val="12"/>
      <color rgb="FFFF0000"/>
      <name val="Arial"/>
      <family val="2"/>
    </font>
    <font>
      <u/>
      <sz val="10"/>
      <color theme="10"/>
      <name val="Arial"/>
      <family val="2"/>
    </font>
    <font>
      <sz val="26"/>
      <color theme="1"/>
      <name val="Arial"/>
      <family val="2"/>
    </font>
    <font>
      <b/>
      <sz val="10"/>
      <color theme="0"/>
      <name val="Arial"/>
      <family val="2"/>
    </font>
    <font>
      <sz val="10"/>
      <color theme="1"/>
      <name val="Times New Roman"/>
      <family val="1"/>
    </font>
    <font>
      <b/>
      <sz val="10"/>
      <name val="Times New Roman"/>
      <family val="1"/>
    </font>
    <font>
      <sz val="10"/>
      <name val="Times New Roman"/>
      <family val="1"/>
    </font>
    <font>
      <sz val="10"/>
      <color theme="0"/>
      <name val="Times New Roman"/>
      <family val="1"/>
    </font>
    <font>
      <b/>
      <sz val="10"/>
      <color theme="1"/>
      <name val="Times New Roman"/>
      <family val="1"/>
    </font>
    <font>
      <b/>
      <sz val="12"/>
      <color theme="1"/>
      <name val="Times New Roman"/>
      <family val="1"/>
    </font>
    <font>
      <sz val="10"/>
      <color rgb="FF000000"/>
      <name val="Times New Roman"/>
      <family val="1"/>
    </font>
    <font>
      <sz val="8"/>
      <name val="Times New Roman"/>
      <family val="1"/>
    </font>
    <font>
      <b/>
      <sz val="12"/>
      <name val="Times New Roman"/>
      <family val="1"/>
    </font>
  </fonts>
  <fills count="9">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2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bottom/>
      <diagonal/>
    </border>
    <border>
      <left/>
      <right style="thin">
        <color theme="4" tint="0.39997558519241921"/>
      </right>
      <top style="thin">
        <color theme="4" tint="0.39997558519241921"/>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xf numFmtId="0" fontId="4" fillId="0" borderId="0"/>
  </cellStyleXfs>
  <cellXfs count="234">
    <xf numFmtId="0" fontId="0" fillId="0" borderId="0" xfId="0"/>
    <xf numFmtId="0" fontId="9" fillId="0" borderId="0" xfId="0" applyNumberFormat="1" applyFont="1" applyFill="1" applyBorder="1" applyAlignment="1" applyProtection="1"/>
    <xf numFmtId="0" fontId="9" fillId="0" borderId="0" xfId="0" applyNumberFormat="1" applyFont="1" applyFill="1" applyBorder="1" applyAlignment="1" applyProtection="1">
      <alignment horizontal="center"/>
    </xf>
    <xf numFmtId="37" fontId="9" fillId="0" borderId="0" xfId="1" applyNumberFormat="1" applyFont="1" applyFill="1" applyAlignment="1" applyProtection="1"/>
    <xf numFmtId="37" fontId="9" fillId="0" borderId="0" xfId="1" applyNumberFormat="1" applyFont="1" applyFill="1" applyBorder="1" applyAlignment="1" applyProtection="1"/>
    <xf numFmtId="0" fontId="13"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xf>
    <xf numFmtId="0" fontId="0" fillId="4" borderId="0" xfId="0" applyFill="1"/>
    <xf numFmtId="0" fontId="4" fillId="4" borderId="14" xfId="0" applyFont="1" applyFill="1" applyBorder="1" applyAlignment="1">
      <alignment wrapText="1"/>
    </xf>
    <xf numFmtId="0" fontId="4" fillId="4" borderId="14" xfId="0" applyFont="1" applyFill="1" applyBorder="1"/>
    <xf numFmtId="0" fontId="0" fillId="4" borderId="14" xfId="0" applyFill="1" applyBorder="1"/>
    <xf numFmtId="0" fontId="22" fillId="4" borderId="0" xfId="0" applyFont="1" applyFill="1" applyAlignment="1">
      <alignment wrapText="1"/>
    </xf>
    <xf numFmtId="0" fontId="0" fillId="5" borderId="0" xfId="0" applyFill="1" applyBorder="1" applyProtection="1">
      <protection locked="0"/>
    </xf>
    <xf numFmtId="44" fontId="4" fillId="5" borderId="14" xfId="1" applyFont="1" applyFill="1" applyBorder="1" applyProtection="1">
      <protection locked="0"/>
    </xf>
    <xf numFmtId="165" fontId="4" fillId="5" borderId="14" xfId="1" applyNumberFormat="1" applyFont="1" applyFill="1" applyBorder="1" applyProtection="1">
      <protection locked="0"/>
    </xf>
    <xf numFmtId="0" fontId="4" fillId="5" borderId="14" xfId="0" applyFont="1" applyFill="1" applyBorder="1" applyAlignment="1" applyProtection="1">
      <alignment wrapText="1"/>
      <protection locked="0"/>
    </xf>
    <xf numFmtId="0" fontId="0" fillId="5" borderId="14" xfId="0" applyFill="1" applyBorder="1" applyProtection="1">
      <protection locked="0"/>
    </xf>
    <xf numFmtId="10" fontId="4" fillId="5" borderId="14" xfId="2" applyNumberFormat="1" applyFont="1" applyFill="1" applyBorder="1" applyProtection="1">
      <protection locked="0"/>
    </xf>
    <xf numFmtId="43" fontId="4" fillId="5" borderId="14" xfId="3" applyFont="1" applyFill="1" applyBorder="1" applyProtection="1">
      <protection locked="0"/>
    </xf>
    <xf numFmtId="0" fontId="4" fillId="0" borderId="14" xfId="0" applyFont="1" applyFill="1" applyBorder="1" applyAlignment="1" applyProtection="1">
      <alignment wrapText="1"/>
    </xf>
    <xf numFmtId="0" fontId="4" fillId="0" borderId="14" xfId="0" quotePrefix="1" applyFont="1" applyFill="1" applyBorder="1" applyProtection="1"/>
    <xf numFmtId="0" fontId="0" fillId="0" borderId="14" xfId="0" applyFill="1" applyBorder="1" applyProtection="1"/>
    <xf numFmtId="0" fontId="4" fillId="0" borderId="14"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0" fillId="5" borderId="2" xfId="0" applyNumberFormat="1" applyFont="1" applyFill="1" applyBorder="1" applyAlignment="1" applyProtection="1">
      <alignment horizontal="center"/>
      <protection locked="0"/>
    </xf>
    <xf numFmtId="2" fontId="12" fillId="0" borderId="9" xfId="0" applyNumberFormat="1" applyFont="1" applyFill="1" applyBorder="1" applyAlignment="1" applyProtection="1">
      <alignment horizontal="left" wrapText="1"/>
    </xf>
    <xf numFmtId="2" fontId="12" fillId="0" borderId="9" xfId="0" applyNumberFormat="1" applyFont="1" applyFill="1" applyBorder="1" applyAlignment="1" applyProtection="1">
      <alignment horizontal="center" wrapText="1"/>
    </xf>
    <xf numFmtId="2" fontId="12" fillId="0" borderId="1" xfId="0" applyNumberFormat="1" applyFont="1" applyFill="1" applyBorder="1" applyAlignment="1" applyProtection="1">
      <alignment horizontal="center" wrapText="1"/>
    </xf>
    <xf numFmtId="2" fontId="12" fillId="0" borderId="12" xfId="0" applyNumberFormat="1" applyFont="1" applyFill="1" applyBorder="1" applyAlignment="1" applyProtection="1">
      <alignment horizontal="center" wrapText="1"/>
    </xf>
    <xf numFmtId="2" fontId="12" fillId="0" borderId="10" xfId="0" applyNumberFormat="1" applyFont="1" applyFill="1" applyBorder="1" applyAlignment="1" applyProtection="1">
      <alignment horizontal="center" wrapText="1"/>
    </xf>
    <xf numFmtId="0" fontId="0" fillId="0" borderId="0" xfId="0" applyProtection="1"/>
    <xf numFmtId="0" fontId="3" fillId="0" borderId="6" xfId="0" applyNumberFormat="1" applyFont="1" applyFill="1" applyBorder="1" applyAlignment="1" applyProtection="1"/>
    <xf numFmtId="0" fontId="3" fillId="0" borderId="6" xfId="0" applyFont="1" applyFill="1" applyBorder="1" applyProtection="1"/>
    <xf numFmtId="37" fontId="3"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8" fillId="0" borderId="8" xfId="0" applyNumberFormat="1" applyFont="1" applyFill="1" applyBorder="1" applyAlignment="1" applyProtection="1"/>
    <xf numFmtId="0" fontId="9" fillId="0" borderId="8" xfId="0" applyNumberFormat="1" applyFont="1" applyFill="1" applyBorder="1" applyAlignment="1" applyProtection="1"/>
    <xf numFmtId="0" fontId="9" fillId="0" borderId="8" xfId="0" applyNumberFormat="1" applyFont="1" applyFill="1" applyBorder="1" applyAlignment="1" applyProtection="1">
      <alignment horizontal="center"/>
    </xf>
    <xf numFmtId="37" fontId="9" fillId="0" borderId="8" xfId="1" applyNumberFormat="1" applyFont="1" applyFill="1" applyBorder="1" applyAlignment="1" applyProtection="1"/>
    <xf numFmtId="0" fontId="9" fillId="0" borderId="6" xfId="0" applyNumberFormat="1" applyFont="1" applyFill="1" applyBorder="1" applyAlignment="1" applyProtection="1"/>
    <xf numFmtId="0" fontId="9" fillId="0" borderId="6" xfId="0" applyNumberFormat="1" applyFont="1" applyFill="1" applyBorder="1" applyAlignment="1" applyProtection="1">
      <alignment horizontal="center"/>
    </xf>
    <xf numFmtId="37" fontId="9" fillId="0" borderId="6" xfId="1" applyNumberFormat="1" applyFont="1" applyFill="1" applyBorder="1" applyAlignment="1" applyProtection="1"/>
    <xf numFmtId="0" fontId="13" fillId="0" borderId="0" xfId="0" applyFont="1" applyFill="1" applyAlignment="1" applyProtection="1">
      <alignment vertical="top" wrapText="1"/>
    </xf>
    <xf numFmtId="0" fontId="13" fillId="0" borderId="0" xfId="0" applyFont="1" applyAlignment="1" applyProtection="1">
      <alignment vertical="top"/>
    </xf>
    <xf numFmtId="0" fontId="13" fillId="0" borderId="0" xfId="0" applyFont="1" applyFill="1" applyAlignment="1" applyProtection="1">
      <alignment vertical="top"/>
    </xf>
    <xf numFmtId="37" fontId="13" fillId="0" borderId="0" xfId="1" applyNumberFormat="1" applyFont="1" applyAlignment="1" applyProtection="1">
      <alignment vertical="top" wrapText="1"/>
    </xf>
    <xf numFmtId="0" fontId="16" fillId="3" borderId="0" xfId="0" applyFont="1" applyFill="1" applyAlignment="1" applyProtection="1">
      <alignment vertical="top" wrapText="1"/>
    </xf>
    <xf numFmtId="0" fontId="4" fillId="0" borderId="0" xfId="0" applyFont="1" applyFill="1" applyProtection="1"/>
    <xf numFmtId="0" fontId="4"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0" fontId="9" fillId="0" borderId="5" xfId="0" applyNumberFormat="1" applyFont="1" applyFill="1" applyBorder="1" applyAlignment="1" applyProtection="1"/>
    <xf numFmtId="37" fontId="9" fillId="0" borderId="7" xfId="1" applyNumberFormat="1" applyFont="1" applyFill="1" applyBorder="1" applyAlignment="1" applyProtection="1"/>
    <xf numFmtId="0" fontId="9" fillId="2" borderId="5" xfId="0" applyNumberFormat="1" applyFont="1" applyFill="1" applyBorder="1" applyAlignment="1" applyProtection="1"/>
    <xf numFmtId="0" fontId="9" fillId="2" borderId="6" xfId="0" applyNumberFormat="1" applyFont="1" applyFill="1" applyBorder="1" applyAlignment="1" applyProtection="1"/>
    <xf numFmtId="0" fontId="9" fillId="2" borderId="6" xfId="0" applyNumberFormat="1" applyFont="1" applyFill="1" applyBorder="1" applyAlignment="1" applyProtection="1">
      <alignment horizontal="center"/>
    </xf>
    <xf numFmtId="37" fontId="9" fillId="2" borderId="7" xfId="1" applyNumberFormat="1" applyFont="1" applyFill="1" applyBorder="1" applyAlignment="1" applyProtection="1"/>
    <xf numFmtId="2" fontId="4" fillId="0" borderId="0" xfId="0" applyNumberFormat="1" applyFont="1" applyFill="1" applyProtection="1"/>
    <xf numFmtId="0" fontId="4" fillId="0" borderId="0" xfId="0" applyFont="1" applyFill="1" applyAlignment="1" applyProtection="1">
      <alignment horizontal="center"/>
    </xf>
    <xf numFmtId="0" fontId="0" fillId="0" borderId="0" xfId="0" applyFill="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18" fillId="0" borderId="2" xfId="0" applyNumberFormat="1" applyFont="1" applyFill="1" applyBorder="1" applyAlignment="1" applyProtection="1">
      <alignment vertical="top" wrapText="1"/>
    </xf>
    <xf numFmtId="0" fontId="0" fillId="0" borderId="0" xfId="0" applyFill="1" applyProtection="1"/>
    <xf numFmtId="44" fontId="4" fillId="0" borderId="14" xfId="1" applyFont="1" applyFill="1" applyBorder="1" applyProtection="1">
      <protection locked="0"/>
    </xf>
    <xf numFmtId="0" fontId="23" fillId="4" borderId="0" xfId="4" applyFill="1" applyAlignment="1" applyProtection="1"/>
    <xf numFmtId="0" fontId="0" fillId="5" borderId="14" xfId="0" applyFill="1" applyBorder="1"/>
    <xf numFmtId="2" fontId="0" fillId="5" borderId="14" xfId="0" applyNumberFormat="1" applyFill="1" applyBorder="1"/>
    <xf numFmtId="0" fontId="2" fillId="4" borderId="14" xfId="0" applyFont="1" applyFill="1" applyBorder="1"/>
    <xf numFmtId="0" fontId="0" fillId="4" borderId="19" xfId="0" applyFill="1" applyBorder="1"/>
    <xf numFmtId="0" fontId="2" fillId="4" borderId="18" xfId="0" applyFont="1" applyFill="1" applyBorder="1"/>
    <xf numFmtId="0" fontId="2" fillId="4" borderId="0" xfId="0" applyFont="1" applyFill="1"/>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0" xfId="0" applyFill="1" applyBorder="1"/>
    <xf numFmtId="0" fontId="18" fillId="5" borderId="1" xfId="0" applyFont="1" applyFill="1" applyBorder="1" applyAlignment="1">
      <alignment vertical="top" wrapText="1"/>
    </xf>
    <xf numFmtId="0" fontId="18" fillId="5" borderId="1" xfId="0" applyNumberFormat="1" applyFont="1" applyFill="1" applyBorder="1" applyAlignment="1">
      <alignment vertical="top" wrapText="1"/>
    </xf>
    <xf numFmtId="8" fontId="18" fillId="7" borderId="10" xfId="0" applyNumberFormat="1" applyFont="1" applyFill="1" applyBorder="1" applyAlignment="1">
      <alignment horizontal="right" wrapText="1"/>
    </xf>
    <xf numFmtId="0" fontId="0" fillId="5" borderId="9" xfId="0" applyFont="1" applyFill="1" applyBorder="1"/>
    <xf numFmtId="0" fontId="0" fillId="5" borderId="1" xfId="0" applyFont="1" applyFill="1" applyBorder="1"/>
    <xf numFmtId="2" fontId="0" fillId="5" borderId="1" xfId="0" applyNumberFormat="1" applyFont="1" applyFill="1" applyBorder="1"/>
    <xf numFmtId="0" fontId="0" fillId="5" borderId="25" xfId="0" applyFont="1" applyFill="1" applyBorder="1" applyAlignment="1">
      <alignment vertical="top" wrapText="1"/>
    </xf>
    <xf numFmtId="0" fontId="18" fillId="5" borderId="26" xfId="0" applyFont="1" applyFill="1" applyBorder="1" applyAlignment="1">
      <alignment vertical="top" wrapText="1"/>
    </xf>
    <xf numFmtId="2" fontId="18" fillId="5" borderId="26" xfId="0" applyNumberFormat="1" applyFont="1" applyFill="1" applyBorder="1" applyAlignment="1">
      <alignment vertical="top" wrapText="1"/>
    </xf>
    <xf numFmtId="9" fontId="18" fillId="5" borderId="26" xfId="0" applyNumberFormat="1" applyFont="1" applyFill="1" applyBorder="1" applyAlignment="1">
      <alignment vertical="top" wrapText="1"/>
    </xf>
    <xf numFmtId="0" fontId="18" fillId="5" borderId="26" xfId="0" applyFont="1" applyFill="1" applyBorder="1" applyAlignment="1">
      <alignment wrapText="1"/>
    </xf>
    <xf numFmtId="0" fontId="18" fillId="5" borderId="26" xfId="0" applyNumberFormat="1" applyFont="1" applyFill="1" applyBorder="1" applyAlignment="1">
      <alignment vertical="top" wrapText="1"/>
    </xf>
    <xf numFmtId="8" fontId="18" fillId="7" borderId="28" xfId="0" applyNumberFormat="1" applyFont="1" applyFill="1" applyBorder="1" applyAlignment="1">
      <alignment horizontal="right" wrapText="1"/>
    </xf>
    <xf numFmtId="8" fontId="18" fillId="0" borderId="28" xfId="0" applyNumberFormat="1" applyFont="1" applyBorder="1" applyAlignment="1">
      <alignment horizontal="right" wrapText="1"/>
    </xf>
    <xf numFmtId="2" fontId="0" fillId="5" borderId="26" xfId="0" applyNumberFormat="1" applyFont="1" applyFill="1" applyBorder="1"/>
    <xf numFmtId="0" fontId="0" fillId="5" borderId="26" xfId="0" applyFont="1" applyFill="1" applyBorder="1"/>
    <xf numFmtId="0" fontId="0" fillId="5" borderId="25" xfId="0" applyFont="1" applyFill="1" applyBorder="1"/>
    <xf numFmtId="0" fontId="0" fillId="5" borderId="25" xfId="0" applyFont="1" applyFill="1" applyBorder="1" applyAlignment="1">
      <alignment vertical="top"/>
    </xf>
    <xf numFmtId="168" fontId="18" fillId="5" borderId="26" xfId="0" applyNumberFormat="1" applyFont="1" applyFill="1" applyBorder="1" applyAlignment="1">
      <alignment vertical="top" wrapText="1"/>
    </xf>
    <xf numFmtId="0" fontId="25" fillId="6" borderId="27" xfId="0" applyFont="1" applyFill="1" applyBorder="1" applyAlignment="1">
      <alignment wrapText="1"/>
    </xf>
    <xf numFmtId="0" fontId="25" fillId="6" borderId="0" xfId="0" applyFont="1" applyFill="1" applyBorder="1" applyAlignment="1">
      <alignment wrapText="1"/>
    </xf>
    <xf numFmtId="0" fontId="25" fillId="6" borderId="24" xfId="0" applyFont="1" applyFill="1" applyBorder="1" applyAlignment="1">
      <alignment wrapText="1"/>
    </xf>
    <xf numFmtId="0" fontId="5" fillId="5" borderId="26" xfId="0" applyFont="1" applyFill="1" applyBorder="1" applyAlignment="1">
      <alignment horizontal="center" vertical="top" wrapText="1"/>
    </xf>
    <xf numFmtId="8" fontId="5" fillId="5" borderId="26" xfId="0" applyNumberFormat="1" applyFont="1" applyFill="1" applyBorder="1" applyAlignment="1">
      <alignment horizontal="center" vertical="top" wrapText="1"/>
    </xf>
    <xf numFmtId="38" fontId="5" fillId="5" borderId="26" xfId="0" applyNumberFormat="1" applyFont="1" applyFill="1" applyBorder="1" applyAlignment="1">
      <alignment horizontal="center" vertical="top" wrapText="1"/>
    </xf>
    <xf numFmtId="43" fontId="5" fillId="5" borderId="26" xfId="3" applyNumberFormat="1" applyFont="1" applyFill="1" applyBorder="1" applyAlignment="1">
      <alignment horizontal="center" vertical="top" wrapText="1"/>
    </xf>
    <xf numFmtId="40" fontId="17" fillId="5" borderId="26" xfId="3" applyNumberFormat="1" applyFont="1" applyFill="1" applyBorder="1" applyAlignment="1">
      <alignment horizontal="center" vertical="top" wrapText="1"/>
    </xf>
    <xf numFmtId="0" fontId="17" fillId="5" borderId="26" xfId="3" applyNumberFormat="1" applyFont="1" applyFill="1" applyBorder="1" applyAlignment="1">
      <alignment horizontal="center" vertical="top" wrapText="1"/>
    </xf>
    <xf numFmtId="164" fontId="0" fillId="3" borderId="26" xfId="3" applyNumberFormat="1" applyFont="1" applyFill="1" applyBorder="1"/>
    <xf numFmtId="43" fontId="0" fillId="3" borderId="25" xfId="3" applyNumberFormat="1" applyFont="1" applyFill="1" applyBorder="1"/>
    <xf numFmtId="164" fontId="0" fillId="3" borderId="25" xfId="3" applyNumberFormat="1" applyFont="1" applyFill="1" applyBorder="1"/>
    <xf numFmtId="2" fontId="0" fillId="3" borderId="25" xfId="3" applyNumberFormat="1" applyFont="1" applyFill="1" applyBorder="1"/>
    <xf numFmtId="40" fontId="5" fillId="5" borderId="26" xfId="0" applyNumberFormat="1" applyFont="1" applyFill="1" applyBorder="1" applyAlignment="1">
      <alignment horizontal="center" vertical="top" wrapText="1"/>
    </xf>
    <xf numFmtId="38" fontId="19" fillId="5" borderId="26" xfId="0" applyNumberFormat="1" applyFont="1" applyFill="1" applyBorder="1" applyAlignment="1">
      <alignment horizontal="center" vertical="top" wrapText="1"/>
    </xf>
    <xf numFmtId="40" fontId="19" fillId="5" borderId="26" xfId="0" applyNumberFormat="1" applyFont="1" applyFill="1" applyBorder="1" applyAlignment="1">
      <alignment horizontal="center" vertical="top" wrapText="1"/>
    </xf>
    <xf numFmtId="40" fontId="21" fillId="5" borderId="26" xfId="0" applyNumberFormat="1" applyFont="1" applyFill="1" applyBorder="1" applyAlignment="1">
      <alignment horizontal="center" vertical="top" wrapText="1"/>
    </xf>
    <xf numFmtId="38" fontId="21" fillId="5" borderId="26" xfId="0" applyNumberFormat="1" applyFont="1" applyFill="1" applyBorder="1" applyAlignment="1">
      <alignment horizontal="center" vertical="top" wrapText="1"/>
    </xf>
    <xf numFmtId="0" fontId="19" fillId="5" borderId="26" xfId="3" applyNumberFormat="1" applyFont="1" applyFill="1" applyBorder="1" applyAlignment="1">
      <alignment horizontal="center" vertical="top" wrapText="1"/>
    </xf>
    <xf numFmtId="43" fontId="17" fillId="5" borderId="26" xfId="3" applyNumberFormat="1" applyFont="1" applyFill="1" applyBorder="1" applyAlignment="1">
      <alignment horizontal="center" vertical="top" wrapText="1"/>
    </xf>
    <xf numFmtId="38" fontId="17" fillId="5" borderId="26" xfId="0" applyNumberFormat="1" applyFont="1" applyFill="1" applyBorder="1" applyAlignment="1">
      <alignment horizontal="center" vertical="top" wrapText="1"/>
    </xf>
    <xf numFmtId="43" fontId="19" fillId="5" borderId="26" xfId="3" applyNumberFormat="1" applyFont="1" applyFill="1" applyBorder="1" applyAlignment="1">
      <alignment horizontal="center" vertical="top" wrapText="1"/>
    </xf>
    <xf numFmtId="38" fontId="5" fillId="5" borderId="26" xfId="3" applyNumberFormat="1" applyFont="1" applyFill="1" applyBorder="1" applyAlignment="1">
      <alignment horizontal="center" vertical="top" wrapText="1"/>
    </xf>
    <xf numFmtId="8" fontId="17" fillId="5" borderId="26" xfId="3" applyNumberFormat="1" applyFont="1" applyFill="1" applyBorder="1" applyAlignment="1">
      <alignment horizontal="center" vertical="top" wrapText="1"/>
    </xf>
    <xf numFmtId="0" fontId="5" fillId="5" borderId="26" xfId="0" applyNumberFormat="1" applyFont="1" applyFill="1" applyBorder="1" applyAlignment="1">
      <alignment vertical="top" wrapText="1"/>
    </xf>
    <xf numFmtId="0" fontId="12" fillId="6" borderId="0" xfId="0" applyFont="1" applyFill="1" applyBorder="1" applyAlignment="1">
      <alignment vertical="top" wrapText="1"/>
    </xf>
    <xf numFmtId="0" fontId="12" fillId="6" borderId="0" xfId="0" applyFont="1" applyFill="1" applyBorder="1" applyAlignment="1">
      <alignment horizontal="center" vertical="top" wrapText="1"/>
    </xf>
    <xf numFmtId="2" fontId="12" fillId="6" borderId="0" xfId="0" applyNumberFormat="1" applyFont="1" applyFill="1" applyBorder="1" applyAlignment="1">
      <alignment horizontal="center" vertical="top" wrapText="1"/>
    </xf>
    <xf numFmtId="43" fontId="0" fillId="0" borderId="0" xfId="0" applyNumberFormat="1" applyProtection="1"/>
    <xf numFmtId="0" fontId="26" fillId="0" borderId="0" xfId="0" applyFont="1" applyFill="1"/>
    <xf numFmtId="0" fontId="27" fillId="0" borderId="0" xfId="0" applyFont="1" applyFill="1" applyBorder="1" applyProtection="1">
      <protection locked="0"/>
    </xf>
    <xf numFmtId="0" fontId="27" fillId="0" borderId="0" xfId="0" applyFont="1" applyFill="1" applyBorder="1"/>
    <xf numFmtId="0" fontId="28" fillId="0" borderId="0" xfId="0" applyFont="1" applyFill="1" applyBorder="1"/>
    <xf numFmtId="0" fontId="27" fillId="0" borderId="0" xfId="0" applyFont="1" applyFill="1" applyBorder="1" applyAlignment="1" applyProtection="1">
      <alignment horizontal="center"/>
      <protection locked="0"/>
    </xf>
    <xf numFmtId="0" fontId="27" fillId="0" borderId="0" xfId="0" applyFont="1" applyFill="1" applyAlignment="1">
      <alignment horizontal="right"/>
    </xf>
    <xf numFmtId="0" fontId="29" fillId="0" borderId="0" xfId="0" applyFont="1" applyFill="1"/>
    <xf numFmtId="0" fontId="26" fillId="0" borderId="0" xfId="0" applyFont="1" applyFill="1" applyBorder="1"/>
    <xf numFmtId="0" fontId="30" fillId="0" borderId="0" xfId="0" applyFont="1" applyFill="1" applyBorder="1" applyProtection="1">
      <protection locked="0"/>
    </xf>
    <xf numFmtId="0" fontId="30" fillId="0" borderId="0" xfId="0" applyFont="1" applyFill="1" applyBorder="1"/>
    <xf numFmtId="0" fontId="30" fillId="0" borderId="0" xfId="0" applyFont="1" applyFill="1" applyAlignment="1">
      <alignment horizontal="right"/>
    </xf>
    <xf numFmtId="0" fontId="30" fillId="0" borderId="0" xfId="0" applyFont="1" applyFill="1"/>
    <xf numFmtId="0" fontId="31" fillId="0" borderId="0" xfId="0" applyFont="1" applyFill="1" applyBorder="1" applyProtection="1">
      <protection locked="0"/>
    </xf>
    <xf numFmtId="2" fontId="26" fillId="0" borderId="0" xfId="0" applyNumberFormat="1" applyFont="1" applyFill="1" applyBorder="1" applyAlignment="1">
      <alignment horizontal="right" indent="1"/>
    </xf>
    <xf numFmtId="0" fontId="26" fillId="0" borderId="4" xfId="0" applyFont="1" applyFill="1" applyBorder="1"/>
    <xf numFmtId="0" fontId="26" fillId="0" borderId="0" xfId="0" applyFont="1" applyFill="1" applyBorder="1" applyAlignment="1" applyProtection="1">
      <alignment horizontal="center"/>
      <protection locked="0"/>
    </xf>
    <xf numFmtId="0" fontId="26" fillId="0" borderId="17" xfId="0" applyFont="1" applyFill="1" applyBorder="1"/>
    <xf numFmtId="0" fontId="26" fillId="0" borderId="3" xfId="0" applyFont="1" applyFill="1" applyBorder="1" applyProtection="1">
      <protection locked="0"/>
    </xf>
    <xf numFmtId="0" fontId="26" fillId="0" borderId="3" xfId="0" applyFont="1" applyFill="1" applyBorder="1" applyAlignment="1" applyProtection="1">
      <alignment horizontal="center"/>
      <protection locked="0"/>
    </xf>
    <xf numFmtId="2" fontId="26" fillId="0" borderId="3" xfId="0" applyNumberFormat="1" applyFont="1" applyFill="1" applyBorder="1" applyAlignment="1">
      <alignment horizontal="right" indent="1"/>
    </xf>
    <xf numFmtId="0" fontId="26" fillId="0" borderId="3" xfId="0" applyFont="1" applyFill="1" applyBorder="1"/>
    <xf numFmtId="2" fontId="26" fillId="0" borderId="0" xfId="0" applyNumberFormat="1" applyFont="1" applyFill="1" applyAlignment="1">
      <alignment horizontal="right" indent="1"/>
    </xf>
    <xf numFmtId="0" fontId="30" fillId="0" borderId="0" xfId="0" applyFont="1" applyFill="1" applyAlignment="1">
      <alignment wrapText="1"/>
    </xf>
    <xf numFmtId="0" fontId="30" fillId="0" borderId="3" xfId="0" applyFont="1" applyFill="1" applyBorder="1" applyAlignment="1">
      <alignment wrapText="1"/>
    </xf>
    <xf numFmtId="0" fontId="26" fillId="0" borderId="0" xfId="0" applyFont="1" applyFill="1" applyBorder="1" applyAlignment="1">
      <alignment horizontal="left"/>
    </xf>
    <xf numFmtId="0" fontId="26" fillId="0" borderId="3" xfId="0" applyFont="1" applyFill="1" applyBorder="1" applyAlignment="1">
      <alignment horizontal="center"/>
    </xf>
    <xf numFmtId="9" fontId="26" fillId="0" borderId="3" xfId="2" applyFont="1" applyFill="1" applyBorder="1" applyAlignment="1" applyProtection="1">
      <alignment horizontal="center"/>
      <protection locked="0"/>
    </xf>
    <xf numFmtId="0" fontId="26" fillId="0" borderId="3" xfId="0" applyFont="1" applyFill="1" applyBorder="1" applyAlignment="1" applyProtection="1">
      <protection locked="0"/>
    </xf>
    <xf numFmtId="0" fontId="26" fillId="0" borderId="3" xfId="0" applyFont="1" applyFill="1" applyBorder="1" applyAlignment="1">
      <alignment horizontal="left"/>
    </xf>
    <xf numFmtId="2" fontId="26" fillId="0" borderId="3" xfId="0" applyNumberFormat="1" applyFont="1" applyFill="1" applyBorder="1" applyAlignment="1">
      <alignment horizontal="center"/>
    </xf>
    <xf numFmtId="2" fontId="26" fillId="0" borderId="3" xfId="0" applyNumberFormat="1" applyFont="1" applyFill="1" applyBorder="1"/>
    <xf numFmtId="2" fontId="26" fillId="0" borderId="0" xfId="0" applyNumberFormat="1" applyFont="1" applyFill="1"/>
    <xf numFmtId="4" fontId="26" fillId="0" borderId="0" xfId="0" applyNumberFormat="1" applyFont="1" applyFill="1" applyAlignment="1">
      <alignment horizontal="right"/>
    </xf>
    <xf numFmtId="0" fontId="26" fillId="0" borderId="0" xfId="0" applyFont="1" applyFill="1" applyAlignment="1">
      <alignment horizontal="right"/>
    </xf>
    <xf numFmtId="44" fontId="28" fillId="0" borderId="0" xfId="1" applyFont="1" applyFill="1"/>
    <xf numFmtId="10" fontId="26" fillId="0" borderId="0" xfId="0" applyNumberFormat="1" applyFont="1" applyFill="1"/>
    <xf numFmtId="43" fontId="26" fillId="0" borderId="0" xfId="0" applyNumberFormat="1" applyFont="1" applyFill="1"/>
    <xf numFmtId="4" fontId="26" fillId="0" borderId="3" xfId="0" applyNumberFormat="1" applyFont="1" applyFill="1" applyBorder="1" applyAlignment="1">
      <alignment horizontal="right"/>
    </xf>
    <xf numFmtId="0" fontId="26" fillId="0" borderId="13" xfId="0" applyFont="1" applyFill="1" applyBorder="1"/>
    <xf numFmtId="0" fontId="28" fillId="0" borderId="0" xfId="0" applyFont="1" applyFill="1" applyBorder="1" applyAlignment="1"/>
    <xf numFmtId="0" fontId="32" fillId="0" borderId="0" xfId="0" applyFont="1" applyFill="1" applyBorder="1" applyAlignment="1"/>
    <xf numFmtId="4" fontId="28" fillId="0" borderId="0" xfId="0" applyNumberFormat="1" applyFont="1" applyFill="1" applyBorder="1" applyAlignment="1">
      <alignment horizontal="right"/>
    </xf>
    <xf numFmtId="166" fontId="26" fillId="0" borderId="0" xfId="1" applyNumberFormat="1" applyFont="1" applyFill="1"/>
    <xf numFmtId="4" fontId="28" fillId="0" borderId="0" xfId="3" applyNumberFormat="1" applyFont="1" applyFill="1" applyAlignment="1">
      <alignment horizontal="right"/>
    </xf>
    <xf numFmtId="166" fontId="28" fillId="0" borderId="0" xfId="1" applyNumberFormat="1" applyFont="1" applyFill="1"/>
    <xf numFmtId="10" fontId="28" fillId="0" borderId="0" xfId="0" applyNumberFormat="1" applyFont="1" applyFill="1"/>
    <xf numFmtId="0" fontId="28" fillId="0" borderId="0" xfId="0" applyFont="1" applyFill="1"/>
    <xf numFmtId="4" fontId="28" fillId="0" borderId="3" xfId="3" applyNumberFormat="1" applyFont="1" applyFill="1" applyBorder="1" applyAlignment="1">
      <alignment horizontal="right"/>
    </xf>
    <xf numFmtId="2" fontId="26" fillId="0" borderId="0" xfId="0" applyNumberFormat="1" applyFont="1" applyFill="1" applyAlignment="1">
      <alignment horizontal="right"/>
    </xf>
    <xf numFmtId="0" fontId="27" fillId="0" borderId="0" xfId="0" applyFont="1" applyFill="1"/>
    <xf numFmtId="2" fontId="28" fillId="0" borderId="0" xfId="0" applyNumberFormat="1" applyFont="1" applyFill="1" applyAlignment="1">
      <alignment horizontal="right"/>
    </xf>
    <xf numFmtId="0" fontId="28" fillId="0" borderId="0" xfId="0" applyFont="1" applyFill="1" applyAlignment="1">
      <alignment horizontal="right"/>
    </xf>
    <xf numFmtId="2" fontId="26" fillId="0" borderId="3" xfId="0" applyNumberFormat="1" applyFont="1" applyFill="1" applyBorder="1" applyAlignment="1">
      <alignment horizontal="right"/>
    </xf>
    <xf numFmtId="2" fontId="28" fillId="0" borderId="0" xfId="0" applyNumberFormat="1" applyFont="1" applyFill="1" applyBorder="1" applyAlignment="1">
      <alignment horizontal="right"/>
    </xf>
    <xf numFmtId="2" fontId="28" fillId="0" borderId="0" xfId="3" applyNumberFormat="1" applyFont="1" applyFill="1" applyAlignment="1">
      <alignment horizontal="right"/>
    </xf>
    <xf numFmtId="2" fontId="28" fillId="0" borderId="3" xfId="3" applyNumberFormat="1" applyFont="1" applyFill="1" applyBorder="1" applyAlignment="1">
      <alignment horizontal="right"/>
    </xf>
    <xf numFmtId="0" fontId="27" fillId="0" borderId="0" xfId="0" applyFont="1" applyFill="1" applyBorder="1" applyAlignment="1" applyProtection="1">
      <alignment horizontal="right"/>
      <protection locked="0"/>
    </xf>
    <xf numFmtId="0" fontId="28" fillId="0" borderId="4" xfId="0" applyFont="1" applyFill="1" applyBorder="1"/>
    <xf numFmtId="0" fontId="34" fillId="0" borderId="0" xfId="0" applyFont="1" applyFill="1" applyBorder="1" applyProtection="1">
      <protection locked="0"/>
    </xf>
    <xf numFmtId="9" fontId="28" fillId="0" borderId="3" xfId="2" applyFont="1" applyFill="1" applyBorder="1" applyAlignment="1" applyProtection="1">
      <alignment horizontal="center"/>
      <protection locked="0"/>
    </xf>
    <xf numFmtId="0" fontId="30" fillId="0" borderId="3" xfId="0" applyFont="1" applyFill="1" applyBorder="1" applyAlignment="1">
      <alignment horizontal="right" wrapText="1"/>
    </xf>
    <xf numFmtId="0" fontId="30" fillId="0" borderId="3" xfId="0" applyFont="1" applyFill="1" applyBorder="1" applyAlignment="1">
      <alignment horizontal="left" wrapTex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6" fillId="0" borderId="0" xfId="0" applyFont="1" applyFill="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3" xfId="0" applyFont="1" applyFill="1" applyBorder="1" applyAlignment="1">
      <alignment horizontal="center"/>
    </xf>
    <xf numFmtId="0" fontId="28" fillId="0" borderId="0" xfId="0" applyFont="1" applyFill="1" applyBorder="1" applyAlignment="1" applyProtection="1">
      <alignment horizontal="center"/>
      <protection locked="0"/>
    </xf>
    <xf numFmtId="9" fontId="28" fillId="0" borderId="0" xfId="2" applyFont="1" applyFill="1" applyBorder="1" applyAlignment="1" applyProtection="1">
      <alignment horizontal="right" indent="1"/>
      <protection locked="0"/>
    </xf>
    <xf numFmtId="9" fontId="26" fillId="0" borderId="0" xfId="2" applyFont="1" applyFill="1" applyBorder="1" applyAlignment="1" applyProtection="1">
      <alignment horizontal="right" indent="1"/>
      <protection locked="0"/>
    </xf>
    <xf numFmtId="0" fontId="26" fillId="0" borderId="0" xfId="0" applyNumberFormat="1" applyFont="1" applyFill="1" applyBorder="1" applyAlignment="1" applyProtection="1">
      <alignment horizontal="right"/>
      <protection locked="0"/>
    </xf>
    <xf numFmtId="0" fontId="28" fillId="8" borderId="0" xfId="0" applyFont="1" applyFill="1" applyBorder="1" applyProtection="1">
      <protection locked="0"/>
    </xf>
    <xf numFmtId="0" fontId="26" fillId="8" borderId="0" xfId="0" applyFont="1" applyFill="1" applyBorder="1" applyProtection="1">
      <protection locked="0"/>
    </xf>
    <xf numFmtId="0" fontId="28" fillId="5" borderId="0" xfId="0" applyFont="1" applyFill="1" applyBorder="1" applyAlignment="1" applyProtection="1">
      <alignment horizontal="center"/>
      <protection locked="0"/>
    </xf>
    <xf numFmtId="0" fontId="26" fillId="5" borderId="0" xfId="0" applyFont="1" applyFill="1" applyBorder="1" applyAlignment="1" applyProtection="1">
      <alignment horizontal="center"/>
      <protection locked="0"/>
    </xf>
    <xf numFmtId="9" fontId="28" fillId="5" borderId="0" xfId="2" applyFont="1" applyFill="1" applyBorder="1" applyAlignment="1" applyProtection="1">
      <alignment horizontal="right" indent="1"/>
      <protection locked="0"/>
    </xf>
    <xf numFmtId="0" fontId="28" fillId="5" borderId="0" xfId="0" applyNumberFormat="1" applyFont="1" applyFill="1" applyBorder="1" applyAlignment="1" applyProtection="1">
      <alignment horizontal="right"/>
      <protection locked="0"/>
    </xf>
    <xf numFmtId="0" fontId="28" fillId="5" borderId="0" xfId="3" applyNumberFormat="1" applyFont="1" applyFill="1" applyBorder="1" applyAlignment="1" applyProtection="1">
      <alignment horizontal="right"/>
      <protection locked="0"/>
    </xf>
    <xf numFmtId="0" fontId="26" fillId="5" borderId="0" xfId="0" applyNumberFormat="1" applyFont="1" applyFill="1" applyBorder="1" applyAlignment="1" applyProtection="1">
      <alignment horizontal="right"/>
      <protection locked="0"/>
    </xf>
    <xf numFmtId="9" fontId="26" fillId="5" borderId="0" xfId="2" applyFont="1" applyFill="1" applyBorder="1" applyAlignment="1" applyProtection="1">
      <alignment horizontal="right" indent="1"/>
      <protection locked="0"/>
    </xf>
    <xf numFmtId="0" fontId="2" fillId="4" borderId="22" xfId="0" applyFont="1" applyFill="1" applyBorder="1" applyAlignment="1">
      <alignment horizontal="left"/>
    </xf>
    <xf numFmtId="0" fontId="2" fillId="4" borderId="23" xfId="0" applyFont="1" applyFill="1" applyBorder="1" applyAlignment="1">
      <alignment horizontal="left"/>
    </xf>
    <xf numFmtId="0" fontId="24" fillId="4" borderId="0" xfId="0" applyFont="1" applyFill="1" applyAlignment="1">
      <alignment horizontal="center"/>
    </xf>
    <xf numFmtId="0" fontId="0" fillId="4" borderId="21" xfId="0" applyFill="1" applyBorder="1" applyAlignment="1">
      <alignment horizontal="left"/>
    </xf>
    <xf numFmtId="0" fontId="0" fillId="4" borderId="20" xfId="0" applyFill="1" applyBorder="1" applyAlignment="1">
      <alignment horizontal="left"/>
    </xf>
    <xf numFmtId="0" fontId="11" fillId="0" borderId="0" xfId="0" applyFont="1" applyAlignment="1" applyProtection="1">
      <alignment horizontal="left" wrapText="1"/>
    </xf>
    <xf numFmtId="0" fontId="0" fillId="0" borderId="0" xfId="0" applyAlignment="1" applyProtection="1">
      <alignment horizontal="left" wrapTex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Fill="1" applyAlignment="1">
      <alignment horizont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8" borderId="16" xfId="0" applyFont="1" applyFill="1" applyBorder="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0" xfId="0" applyFont="1" applyFill="1" applyBorder="1" applyAlignment="1">
      <alignment horizontal="left"/>
    </xf>
    <xf numFmtId="0" fontId="30" fillId="0" borderId="3" xfId="0" applyFont="1" applyFill="1" applyBorder="1" applyAlignment="1">
      <alignment horizontal="left"/>
    </xf>
    <xf numFmtId="0" fontId="30" fillId="0" borderId="0" xfId="0" applyFont="1" applyFill="1" applyBorder="1" applyAlignment="1">
      <alignment horizontal="center"/>
    </xf>
    <xf numFmtId="0" fontId="30" fillId="0" borderId="3" xfId="0" applyFont="1" applyFill="1" applyBorder="1" applyAlignment="1">
      <alignment horizontal="center"/>
    </xf>
    <xf numFmtId="0" fontId="26" fillId="8" borderId="15" xfId="0" applyFont="1" applyFill="1" applyBorder="1" applyAlignment="1" applyProtection="1">
      <alignment horizontal="center"/>
      <protection locked="0"/>
    </xf>
    <xf numFmtId="0" fontId="26" fillId="8" borderId="17" xfId="0" applyFont="1" applyFill="1" applyBorder="1" applyAlignment="1" applyProtection="1">
      <alignment horizontal="center"/>
      <protection locked="0"/>
    </xf>
    <xf numFmtId="0" fontId="26" fillId="8" borderId="16" xfId="0" applyFont="1" applyFill="1" applyBorder="1" applyAlignment="1" applyProtection="1">
      <alignment horizontal="center"/>
      <protection locked="0"/>
    </xf>
    <xf numFmtId="0" fontId="33" fillId="0" borderId="0" xfId="0" applyFont="1" applyFill="1" applyAlignment="1">
      <alignment horizontal="left" wrapText="1"/>
    </xf>
  </cellXfs>
  <cellStyles count="7">
    <cellStyle name="Comma" xfId="3" builtinId="3"/>
    <cellStyle name="Currency" xfId="1" builtinId="4"/>
    <cellStyle name="Hyperlink" xfId="4" builtinId="8"/>
    <cellStyle name="Normal" xfId="0" builtinId="0"/>
    <cellStyle name="Normal 2" xfId="5"/>
    <cellStyle name="Normal 3" xfId="6"/>
    <cellStyle name="Percent" xfId="2" builtinId="5"/>
  </cellStyles>
  <dxfs count="90">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0" formatCode="General"/>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none"/>
      </font>
      <fill>
        <patternFill patternType="solid">
          <fgColor indexed="64"/>
          <bgColor theme="0" tint="-0.14999847407452621"/>
        </patternFill>
      </fill>
    </dxf>
    <dxf>
      <font>
        <b/>
        <i val="0"/>
        <strike val="0"/>
        <condense val="0"/>
        <extend val="0"/>
        <outline val="0"/>
        <shadow val="0"/>
        <u val="none"/>
        <vertAlign val="baseline"/>
        <sz val="10"/>
        <color rgb="FFFFFF00"/>
        <name val="Arial"/>
        <scheme val="none"/>
      </font>
      <numFmt numFmtId="2" formatCode="0.00"/>
      <fill>
        <patternFill patternType="solid">
          <fgColor theme="4"/>
          <bgColor theme="4"/>
        </patternFill>
      </fill>
      <alignment horizontal="center" vertical="top" textRotation="0" wrapText="1" indent="0" justifyLastLine="0" shrinkToFit="0" readingOrder="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thin">
          <color theme="4" tint="0.39997558519241921"/>
        </bottom>
        <vertical/>
        <horizontal/>
      </border>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border outline="0">
        <top style="thin">
          <color theme="4" tint="0.39997558519241921"/>
        </top>
      </border>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i val="0"/>
        <strike val="0"/>
        <condense val="0"/>
        <extend val="0"/>
        <outline val="0"/>
        <shadow val="0"/>
        <u val="none"/>
        <vertAlign val="baseline"/>
        <sz val="10"/>
        <color theme="0"/>
        <name val="Arial"/>
        <scheme val="none"/>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2016 Nebraska Crop Budgets</a:t>
          </a:r>
        </a:p>
      </xdr:txBody>
    </xdr:sp>
    <xdr:clientData/>
  </xdr:oneCellAnchor>
  <xdr:oneCellAnchor>
    <xdr:from>
      <xdr:col>0</xdr:col>
      <xdr:colOff>9526</xdr:colOff>
      <xdr:row>18</xdr:row>
      <xdr:rowOff>0</xdr:rowOff>
    </xdr:from>
    <xdr:ext cx="9391650" cy="1466850"/>
    <xdr:sp macro="" textlink="">
      <xdr:nvSpPr>
        <xdr:cNvPr id="3" name="Rectangle 2"/>
        <xdr:cNvSpPr/>
      </xdr:nvSpPr>
      <xdr:spPr>
        <a:xfrm>
          <a:off x="9526" y="2914650"/>
          <a:ext cx="9391650" cy="1466850"/>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p>
        <a:p>
          <a:pPr algn="ctr"/>
          <a:r>
            <a:rPr lang="en-US" sz="2000" b="1" cap="none" spc="0" baseline="0">
              <a:ln w="10541" cmpd="sng">
                <a:solidFill>
                  <a:schemeClr val="accent1">
                    <a:shade val="88000"/>
                    <a:satMod val="110000"/>
                  </a:schemeClr>
                </a:solidFill>
                <a:prstDash val="solid"/>
              </a:ln>
              <a:solidFill>
                <a:schemeClr val="tx1"/>
              </a:solidFill>
              <a:effectLst/>
            </a:rPr>
            <a:t>Jim A. Jansen - Extension Educator - Agricultural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28</xdr:row>
      <xdr:rowOff>19051</xdr:rowOff>
    </xdr:from>
    <xdr:to>
      <xdr:col>14</xdr:col>
      <xdr:colOff>352425</xdr:colOff>
      <xdr:row>37</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48</xdr:row>
      <xdr:rowOff>76199</xdr:rowOff>
    </xdr:from>
    <xdr:to>
      <xdr:col>14</xdr:col>
      <xdr:colOff>219075</xdr:colOff>
      <xdr:row>51</xdr:row>
      <xdr:rowOff>47625</xdr:rowOff>
    </xdr:to>
    <xdr:sp macro="" textlink="">
      <xdr:nvSpPr>
        <xdr:cNvPr id="7" name="TextBox 6"/>
        <xdr:cNvSpPr txBox="1"/>
      </xdr:nvSpPr>
      <xdr:spPr>
        <a:xfrm>
          <a:off x="1771650" y="7362824"/>
          <a:ext cx="6981825"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Extension is a Division of the Institute of Agriculture</a:t>
          </a:r>
          <a:r>
            <a:rPr lang="en-US" sz="1100" baseline="0"/>
            <a:t> and Natural Resources at the University of Nebraska –Lincoln cooperating with the Counties and the United States Department of Agriculture.  </a:t>
          </a:r>
          <a:endParaRPr lang="en-US" sz="1100">
            <a:latin typeface="+mn-lt"/>
          </a:endParaRPr>
        </a:p>
      </xdr:txBody>
    </xdr:sp>
    <xdr:clientData/>
  </xdr:twoCellAnchor>
  <xdr:twoCellAnchor editAs="oneCell">
    <xdr:from>
      <xdr:col>1</xdr:col>
      <xdr:colOff>57151</xdr:colOff>
      <xdr:row>50</xdr:row>
      <xdr:rowOff>22642</xdr:rowOff>
    </xdr:from>
    <xdr:to>
      <xdr:col>2</xdr:col>
      <xdr:colOff>257175</xdr:colOff>
      <xdr:row>56</xdr:row>
      <xdr:rowOff>24984</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1" y="7147342"/>
          <a:ext cx="809624" cy="973892"/>
        </a:xfrm>
        <a:prstGeom prst="rect">
          <a:avLst/>
        </a:prstGeom>
      </xdr:spPr>
    </xdr:pic>
    <xdr:clientData/>
  </xdr:twoCellAnchor>
  <xdr:twoCellAnchor>
    <xdr:from>
      <xdr:col>2</xdr:col>
      <xdr:colOff>581025</xdr:colOff>
      <xdr:row>51</xdr:row>
      <xdr:rowOff>152400</xdr:rowOff>
    </xdr:from>
    <xdr:to>
      <xdr:col>14</xdr:col>
      <xdr:colOff>219075</xdr:colOff>
      <xdr:row>55</xdr:row>
      <xdr:rowOff>38100</xdr:rowOff>
    </xdr:to>
    <xdr:sp macro="" textlink="">
      <xdr:nvSpPr>
        <xdr:cNvPr id="6" name="TextBox 5"/>
        <xdr:cNvSpPr txBox="1"/>
      </xdr:nvSpPr>
      <xdr:spPr>
        <a:xfrm>
          <a:off x="1800225" y="7924800"/>
          <a:ext cx="69532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University of Nebraska–Lincoln Extension educational programs abide with the nondiscrimination policies of the University of Nebraska–Lincoln and the United States Department of Agriculture.</a:t>
          </a:r>
        </a:p>
        <a:p>
          <a:endParaRPr lang="en-US" sz="1100"/>
        </a:p>
      </xdr:txBody>
    </xdr:sp>
    <xdr:clientData/>
  </xdr:twoCellAnchor>
  <xdr:twoCellAnchor>
    <xdr:from>
      <xdr:col>4</xdr:col>
      <xdr:colOff>285750</xdr:colOff>
      <xdr:row>56</xdr:row>
      <xdr:rowOff>152400</xdr:rowOff>
    </xdr:from>
    <xdr:to>
      <xdr:col>14</xdr:col>
      <xdr:colOff>219075</xdr:colOff>
      <xdr:row>58</xdr:row>
      <xdr:rowOff>66675</xdr:rowOff>
    </xdr:to>
    <xdr:sp macro="" textlink="">
      <xdr:nvSpPr>
        <xdr:cNvPr id="9" name="TextBox 8"/>
        <xdr:cNvSpPr txBox="1"/>
      </xdr:nvSpPr>
      <xdr:spPr>
        <a:xfrm>
          <a:off x="2724150" y="8734425"/>
          <a:ext cx="60293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mn-lt"/>
              <a:ea typeface="+mn-ea"/>
              <a:cs typeface="+mn-cs"/>
            </a:rPr>
            <a:t>© 2015, The Board of Regents of the University of Nebraska on behalf of the University of Nebraska–Lincoln Extension. All rights reserved.</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19</xdr:row>
      <xdr:rowOff>47626</xdr:rowOff>
    </xdr:from>
    <xdr:to>
      <xdr:col>6</xdr:col>
      <xdr:colOff>409575</xdr:colOff>
      <xdr:row>26</xdr:row>
      <xdr:rowOff>104775</xdr:rowOff>
    </xdr:to>
    <xdr:sp macro="" textlink="">
      <xdr:nvSpPr>
        <xdr:cNvPr id="2" name="TextBox 1"/>
        <xdr:cNvSpPr txBox="1"/>
      </xdr:nvSpPr>
      <xdr:spPr>
        <a:xfrm>
          <a:off x="3467100" y="3457576"/>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rwilson6\My%20Documents\Feed%20Cost%20Calculator%20with%20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F1"/>
      <sheetName val="F2"/>
      <sheetName val="F3"/>
      <sheetName val="F4"/>
      <sheetName val="F5"/>
      <sheetName val="F6"/>
      <sheetName val="F7"/>
      <sheetName val="F8"/>
      <sheetName val="F9"/>
      <sheetName val="F10"/>
      <sheetName val="Per Pound"/>
      <sheetName val="Whole Herd"/>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9" name="Table9" displayName="Table9" ref="E4:F15" totalsRowShown="0" headerRowDxfId="89" dataDxfId="88">
  <autoFilter ref="E4:F15"/>
  <tableColumns count="2">
    <tableColumn id="1" name="Description" dataDxfId="87"/>
    <tableColumn id="2" name="Value" dataDxfId="86" dataCellStyle="Comma"/>
  </tableColumns>
  <tableStyleInfo name="Table Style 1" showFirstColumn="0" showLastColumn="0" showRowStripes="1" showColumnStripes="0"/>
</table>
</file>

<file path=xl/tables/table2.xml><?xml version="1.0" encoding="utf-8"?>
<table xmlns="http://schemas.openxmlformats.org/spreadsheetml/2006/main" id="6" name="Table1" displayName="Table1" ref="X1:AB7" totalsRowShown="0" headerRowDxfId="85" dataDxfId="84">
  <autoFilter ref="X1:AB7"/>
  <tableColumns count="5">
    <tableColumn id="1" name=" Equipment type " dataDxfId="83"/>
    <tableColumn id="2" name="Machine" dataDxfId="82"/>
    <tableColumn id="3" name=" C1 " dataDxfId="81"/>
    <tableColumn id="4" name=" C2 " dataDxfId="80"/>
    <tableColumn id="5" name=" C3 " dataDxfId="79"/>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78" dataDxfId="76" headerRowBorderDxfId="77" tableBorderDxfId="75">
  <autoFilter ref="R1:V8"/>
  <tableColumns count="5">
    <tableColumn id="1" name="Machine" dataDxfId="74"/>
    <tableColumn id="2" name="Catogory" dataDxfId="73"/>
    <tableColumn id="3" name="RF1" dataDxfId="72"/>
    <tableColumn id="4" name="RF2" dataDxfId="71"/>
    <tableColumn id="5" name="Estimated Life" dataDxfId="70"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69" dataDxfId="68">
  <autoFilter ref="A1:P12"/>
  <tableColumns count="16">
    <tableColumn id="1" name="Name" dataDxfId="67"/>
    <tableColumn id="2" name="Repair Category" dataDxfId="66"/>
    <tableColumn id="3" name="Depreciation Category" dataDxfId="65"/>
    <tableColumn id="4" name="List Price" dataDxfId="64" dataCellStyle="Comma"/>
    <tableColumn id="12" name="Beg Yr Value" dataDxfId="63" dataCellStyle="Comma"/>
    <tableColumn id="5" name="Age" dataDxfId="62"/>
    <tableColumn id="6" name="Tach Hours" dataDxfId="61"/>
    <tableColumn id="7" name="Est. Hours per Year" dataDxfId="60"/>
    <tableColumn id="14" name="Calculated List Price" dataDxfId="59"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58"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57"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6"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5">
      <calculatedColumnFormula>IF(PowerUnits[[#This Row],[Est. Hours per Year]]=0,0,(PowerUnits[[#This Row],[Calculated Beg Yr. Value]]-PowerUnits[[#This Row],[Calculated End Yr. Value]])/PowerUnits[[#This Row],[Est. Hours per Year]])</calculatedColumnFormula>
    </tableColumn>
    <tableColumn id="15" name="TIH per Hour" dataDxfId="54">
      <calculatedColumnFormula>IF(PowerUnits[[#This Row],[Est. Hours per Year]]=0,0,PowerUnits[[#This Row],[Calculated Beg Yr. Value]]*'General Variables'!$B$9/PowerUnits[[#This Row],[Est. Hours per Year]])</calculatedColumnFormula>
    </tableColumn>
    <tableColumn id="16" name="Opportunity Cost per Hour" dataDxfId="53">
      <calculatedColumnFormula>IF(PowerUnits[[#This Row],[Est. Hours per Year]]=0,0,PowerUnits[[#This Row],[Calculated Beg Yr. Value]]*'General Variables'!$B$10/PowerUnits[[#This Row],[Est. Hours per Year]])</calculatedColumnFormula>
    </tableColumn>
    <tableColumn id="17" name="Ownership Cost per Hour" dataDxfId="52">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 name="Table2" displayName="Table2" ref="B1:H136" totalsRowShown="0" headerRowDxfId="51" dataDxfId="50" tableBorderDxfId="49">
  <autoFilter ref="B1:H136"/>
  <sortState ref="B2:H136">
    <sortCondition ref="B1:B136"/>
  </sortState>
  <tableColumns count="7">
    <tableColumn id="1" name="Material" dataDxfId="48"/>
    <tableColumn id="2" name="Category" dataDxfId="47"/>
    <tableColumn id="3" name="Purchase Price" dataDxfId="46"/>
    <tableColumn id="4" name="Purchase Unit" dataDxfId="45"/>
    <tableColumn id="5" name="Applied Unit" dataDxfId="44"/>
    <tableColumn id="6" name="Applied Units / Purchased Units" dataDxfId="43"/>
    <tableColumn id="7" name="Applied Price" dataDxfId="42"/>
  </tableColumns>
  <tableStyleInfo name="Table Style 1" showFirstColumn="0" showLastColumn="0" showRowStripes="1" showColumnStripes="0"/>
</table>
</file>

<file path=xl/tables/table6.xml><?xml version="1.0" encoding="utf-8"?>
<table xmlns="http://schemas.openxmlformats.org/spreadsheetml/2006/main" id="3" name="ImpRepairFac" displayName="ImpRepairFac" ref="W1:AA48" totalsRowShown="0" headerRowDxfId="41" dataDxfId="40">
  <autoFilter ref="W1:AA48"/>
  <sortState ref="W2:AA53">
    <sortCondition ref="W2:W54"/>
  </sortState>
  <tableColumns count="5">
    <tableColumn id="2" name="Machine" dataDxfId="39"/>
    <tableColumn id="1" name="Catogory" dataDxfId="38"/>
    <tableColumn id="3" name="RF1" dataDxfId="37"/>
    <tableColumn id="4" name="RF2" dataDxfId="36"/>
    <tableColumn id="5" name="Estimated Life" dataDxfId="35" dataCellStyle="Currency"/>
  </tableColumns>
  <tableStyleInfo name="TableStyleMedium3" showFirstColumn="0" showLastColumn="0" showRowStripes="1" showColumnStripes="0"/>
</table>
</file>

<file path=xl/tables/table7.xml><?xml version="1.0" encoding="utf-8"?>
<table xmlns="http://schemas.openxmlformats.org/spreadsheetml/2006/main" id="4" name="ImpDepreciation" displayName="ImpDepreciation" ref="AD1:AH11" totalsRowShown="0" headerRowDxfId="34" dataDxfId="33">
  <autoFilter ref="AD1:AH11"/>
  <tableColumns count="5">
    <tableColumn id="1" name=" Equipment type " dataDxfId="32"/>
    <tableColumn id="2" name="Machine" dataDxfId="31"/>
    <tableColumn id="3" name=" C1 " dataDxfId="30"/>
    <tableColumn id="4" name=" C2 " dataDxfId="29"/>
    <tableColumn id="5" name=" C3 " dataDxfId="28"/>
  </tableColumns>
  <tableStyleInfo name="TableStyleMedium3" showFirstColumn="0" showLastColumn="0" showRowStripes="1" showColumnStripes="0"/>
</table>
</file>

<file path=xl/tables/table8.xml><?xml version="1.0" encoding="utf-8"?>
<table xmlns="http://schemas.openxmlformats.org/spreadsheetml/2006/main" id="5" name="IrrigationSystems" displayName="IrrigationSystems" ref="AK3:AM15" totalsRowShown="0" headerRowDxfId="27" dataDxfId="26">
  <autoFilter ref="AK3:AM15"/>
  <tableColumns count="3">
    <tableColumn id="1" name="System Type" dataDxfId="25"/>
    <tableColumn id="2" name="Life-yrs" dataDxfId="24"/>
    <tableColumn id="3" name="Maintenance, % of capital cost" dataDxfId="23"/>
  </tableColumns>
  <tableStyleInfo name="TableStyleMedium3" showFirstColumn="0" showLastColumn="0" showRowStripes="1" showColumnStripes="0"/>
</table>
</file>

<file path=xl/tables/table9.xml><?xml version="1.0" encoding="utf-8"?>
<table xmlns="http://schemas.openxmlformats.org/spreadsheetml/2006/main" id="2" name="Table3" displayName="Table3" ref="A1:U101" totalsRowShown="0" headerRowDxfId="22" dataDxfId="21" tableBorderDxfId="20" dataCellStyle="Comma">
  <autoFilter ref="A1:U101"/>
  <sortState ref="A2:U101">
    <sortCondition ref="A1:A101"/>
  </sortState>
  <tableColumns count="21">
    <tableColumn id="1" name="Op Name" dataDxfId="19"/>
    <tableColumn id="2" name="Unit" dataDxfId="18"/>
    <tableColumn id="3" name="Repair Category" dataDxfId="17"/>
    <tableColumn id="4" name="Depreciation Category" dataDxfId="16"/>
    <tableColumn id="5" name="List Price" dataDxfId="15"/>
    <tableColumn id="6" name="Begin Yr. Value" dataDxfId="14" dataCellStyle="Comma"/>
    <tableColumn id="7" name="Age" dataDxfId="13"/>
    <tableColumn id="8" name="Annual Use" dataDxfId="12"/>
    <tableColumn id="9" name="Units per Hour"/>
    <tableColumn id="10" name="Labor Factor" dataDxfId="11" dataCellStyle="Comma"/>
    <tableColumn id="11" name="Power Source" dataDxfId="10"/>
    <tableColumn id="12" name="Diesel Use per Hour" dataDxfId="9" dataCellStyle="Comma"/>
    <tableColumn id="13" name="Kw Use per Hour" dataDxfId="8" dataCellStyle="Comma"/>
    <tableColumn id="14" name="Calc List Price" dataDxfId="7" dataCellStyle="Comma">
      <calculatedColumnFormula>IF(Operations!$E2&gt;1,Operations!$E2,IF(Operations!$D2=0,0,Operations!$F2/(VLOOKUP(Operations!$D2,ImpDepLookup,2,FALSE)-VLOOKUP(Operations!$D2,ImpDepLookup,3,FALSE)*Operations!$G2^0.5-VLOOKUP(Operations!$D2,ImpDepLookup,4,FALSE)*(Operations!$G2*(Operations!$G2*Operations!$H2/Operations!$I2)^0.5))^2))</calculatedColumnFormula>
    </tableColumn>
    <tableColumn id="15" name="Repairs per Unit" dataDxfId="6" dataCellStyle="Comma">
      <calculatedColumnFormula>IF(Operations!$C2="",0,(((Operations!$G2+1)*Operations!$H2/Operations!$I2/1000)^VLOOKUP(Operations!$C2,ImpRepairFac[],4,FALSE)-(Operations!$G2*Operations!$H2/Operations!$I2/1000)^VLOOKUP(Operations!$C2,ImpRepairFac[],4,FALSE))*Operations!$N2*VLOOKUP(Operations!$C2,ImpRepairFac[],3,FALSE)/Operations!$H2)</calculatedColumnFormula>
    </tableColumn>
    <tableColumn id="16" name="Calc Beg Yr. Value" dataDxfId="5" dataCellStyle="Comma">
      <calculatedColumnFormula>IF(Operations!$N2=0,0,Operations!$N2*(VLOOKUP(Operations!$D2,ImpDepLookup,2,FALSE)-VLOOKUP(Operations!$D2,ImpDepLookup,3,FALSE)*Operations!$G2^0.5-VLOOKUP(Operations!$D2,ImpDepLookup,4,FALSE)*(Operations!$G2*Operations!$H2/Operations!$I2)^0.5)^2)</calculatedColumnFormula>
    </tableColumn>
    <tableColumn id="17" name="Calc End Yr. Value" dataDxfId="4" dataCellStyle="Comma">
      <calculatedColumnFormula>IF(Operations!$N2=0,0,Operations!$N2*(VLOOKUP(Operations!$D2,ImpDepLookup,2,FALSE)-VLOOKUP(Operations!$D2,ImpDepLookup,3,FALSE)*(Operations!$G2+1)^0.5-VLOOKUP(Operations!$D2,ImpDepLookup,4,FALSE)*(Operations!$G2*Operations!$H2/Operations!$I2)^0.5)^2)</calculatedColumnFormula>
    </tableColumn>
    <tableColumn id="18" name="Depreciation per Unit" dataDxfId="3" dataCellStyle="Comma">
      <calculatedColumnFormula>IF(Operations!$N2=0,0,IF(Operations!$I2*Operations!$H2=0,0,(Operations!$P2-Operations!$Q2)/(Operations!$H2)))</calculatedColumnFormula>
    </tableColumn>
    <tableColumn id="19" name="TIH per Unit" dataDxfId="2" dataCellStyle="Comma">
      <calculatedColumnFormula>IF(Operations!$H2=0,0,Operations!$P2*'General Variables'!$B$9/Operations!$H2)</calculatedColumnFormula>
    </tableColumn>
    <tableColumn id="20" name="Opportunity Cost per Unit" dataDxfId="1" dataCellStyle="Comma">
      <calculatedColumnFormula>IF(Operations!$H2=0,0,Operations!$P2*'General Variables'!$B$10/Operations!$H2)</calculatedColumnFormula>
    </tableColumn>
    <tableColumn id="21" name="Ownership Cost per Unit" dataDxfId="0" dataCellStyle="Comma">
      <calculatedColumnFormula>SUM(Table3[[#This Row],[Depreciation per Unit]:[Opportunity Cost per Unit]])</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pageSetUpPr fitToPage="1"/>
  </sheetPr>
  <dimension ref="C41:L47"/>
  <sheetViews>
    <sheetView tabSelected="1" workbookViewId="0"/>
  </sheetViews>
  <sheetFormatPr defaultRowHeight="12.75" x14ac:dyDescent="0.2"/>
  <cols>
    <col min="1" max="16384" width="9.140625" style="7"/>
  </cols>
  <sheetData>
    <row r="41" spans="3:12" x14ac:dyDescent="0.2">
      <c r="C41" s="7" t="s">
        <v>428</v>
      </c>
    </row>
    <row r="42" spans="3:12" x14ac:dyDescent="0.2">
      <c r="D42" s="7" t="s">
        <v>587</v>
      </c>
      <c r="G42" s="7" t="s">
        <v>591</v>
      </c>
    </row>
    <row r="43" spans="3:12" x14ac:dyDescent="0.2">
      <c r="D43" s="7" t="s">
        <v>588</v>
      </c>
      <c r="G43" s="7" t="s">
        <v>430</v>
      </c>
    </row>
    <row r="44" spans="3:12" x14ac:dyDescent="0.2">
      <c r="D44" s="7" t="s">
        <v>589</v>
      </c>
      <c r="G44" s="7" t="s">
        <v>431</v>
      </c>
    </row>
    <row r="45" spans="3:12" x14ac:dyDescent="0.2">
      <c r="D45" s="7" t="s">
        <v>590</v>
      </c>
      <c r="G45" s="7" t="s">
        <v>429</v>
      </c>
    </row>
    <row r="46" spans="3:12" x14ac:dyDescent="0.2">
      <c r="D46" s="7" t="s">
        <v>592</v>
      </c>
      <c r="G46" s="7" t="s">
        <v>593</v>
      </c>
      <c r="L46" s="71"/>
    </row>
    <row r="47" spans="3:12" x14ac:dyDescent="0.2">
      <c r="D47" s="7" t="s">
        <v>594</v>
      </c>
      <c r="G47" s="7" t="s">
        <v>595</v>
      </c>
      <c r="L47" s="71"/>
    </row>
  </sheetData>
  <pageMargins left="0.7" right="0.7" top="0.75" bottom="0.75" header="0.3" footer="0.3"/>
  <pageSetup scale="67"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3">
    <pageSetUpPr fitToPage="1"/>
  </sheetPr>
  <dimension ref="A2:O255"/>
  <sheetViews>
    <sheetView topLeftCell="A20"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68-Wheat</v>
      </c>
      <c r="B2" s="131"/>
      <c r="C2" s="132" t="s">
        <v>555</v>
      </c>
      <c r="D2" s="132"/>
      <c r="E2" s="131"/>
      <c r="I2" s="133" t="s">
        <v>419</v>
      </c>
      <c r="J2" s="131"/>
      <c r="L2" s="134" t="str">
        <f>'General Variables'!A3&amp;" "&amp;'General Variables'!B3</f>
        <v>Year 2016</v>
      </c>
      <c r="O2" s="135" t="s">
        <v>407</v>
      </c>
    </row>
    <row r="3" spans="1:15" hidden="1" x14ac:dyDescent="0.2">
      <c r="A3" s="130" t="s">
        <v>561</v>
      </c>
      <c r="B3" s="131"/>
      <c r="C3" s="132"/>
      <c r="D3" s="132"/>
      <c r="E3" s="131"/>
      <c r="G3" s="136"/>
      <c r="I3" s="131" t="s">
        <v>540</v>
      </c>
      <c r="O3" s="135" t="s">
        <v>406</v>
      </c>
    </row>
    <row r="4" spans="1:15" hidden="1" x14ac:dyDescent="0.2">
      <c r="A4" s="130">
        <v>45</v>
      </c>
      <c r="B4" s="130" t="s">
        <v>56</v>
      </c>
      <c r="C4" s="132"/>
      <c r="D4" s="132"/>
      <c r="E4" s="131"/>
      <c r="F4" s="131"/>
      <c r="G4" s="131"/>
      <c r="H4" s="131"/>
      <c r="I4" s="131"/>
      <c r="J4" s="134" t="s">
        <v>505</v>
      </c>
      <c r="K4" s="140"/>
      <c r="O4" s="135" t="str">
        <f>B4</f>
        <v>bu</v>
      </c>
    </row>
    <row r="5" spans="1:15" ht="15.75" hidden="1" x14ac:dyDescent="0.25">
      <c r="A5" s="217" t="str">
        <f ca="1" xml:space="preserve"> A2  &amp; IF(C2="","",  ", " &amp;C2 ) &amp; ", " &amp; A3 &amp; ", " &amp; I2</f>
        <v>68-Wheat, Clean Till Fallow, One Crop in Two Years, 50 bu Yield Goal, Dryland</v>
      </c>
      <c r="B5" s="217"/>
      <c r="C5" s="217"/>
      <c r="D5" s="217"/>
      <c r="E5" s="217"/>
      <c r="F5" s="217"/>
      <c r="G5" s="217"/>
      <c r="H5" s="217"/>
      <c r="I5" s="217"/>
      <c r="J5" s="217"/>
      <c r="K5" s="217"/>
      <c r="L5" s="217"/>
      <c r="O5" s="135"/>
    </row>
    <row r="6" spans="1:15" ht="15.75" hidden="1" x14ac:dyDescent="0.25">
      <c r="A6" s="191"/>
      <c r="B6" s="191"/>
      <c r="C6" s="191"/>
      <c r="D6" s="191"/>
      <c r="E6" s="191"/>
      <c r="F6" s="191"/>
      <c r="G6" s="191"/>
      <c r="H6" s="191"/>
      <c r="I6" s="191"/>
      <c r="J6" s="191"/>
      <c r="K6" s="191"/>
      <c r="L6" s="191"/>
      <c r="O6" s="135"/>
    </row>
    <row r="7" spans="1:15" ht="30" customHeight="1" x14ac:dyDescent="0.25">
      <c r="A7" s="217" t="str">
        <f ca="1">'General Variables'!B3 &amp; " Budget "  &amp; A2 &amp;", "  &amp; IF(C2=0,"", " " &amp; C2 &amp; ", ") &amp;  A3 &amp; IF(A4=""," ", " (") &amp; A4 &amp; " " &amp; B4 &amp; IF(A4="",""," Actual Yield)")</f>
        <v>2016 Budget 68-Wheat,  Clean Till Fallow, One Crop in Two Years, 50 bu Yield Goal (45 bu Actual Yield)</v>
      </c>
      <c r="B7" s="217"/>
      <c r="C7" s="217"/>
      <c r="D7" s="217"/>
      <c r="E7" s="217"/>
      <c r="F7" s="217"/>
      <c r="G7" s="217"/>
      <c r="H7" s="217"/>
      <c r="I7" s="217"/>
      <c r="J7" s="217"/>
      <c r="K7" s="217"/>
      <c r="L7" s="217"/>
      <c r="O7" s="135"/>
    </row>
    <row r="8" spans="1:15" ht="15.75" x14ac:dyDescent="0.25">
      <c r="A8" s="187" t="str">
        <f>IF(I2="Dryland","Dryland",I2 &amp; IF(J2="","",", "&amp;J2)&amp;IF(H3="","",", "&amp;H3&amp;" "&amp;I3))</f>
        <v>Dryland</v>
      </c>
      <c r="B8" s="130"/>
      <c r="C8" s="132"/>
      <c r="D8" s="132"/>
      <c r="E8" s="131"/>
      <c r="F8" s="131"/>
      <c r="G8" s="131"/>
      <c r="H8" s="131"/>
      <c r="I8" s="131"/>
      <c r="O8" s="135"/>
    </row>
    <row r="10" spans="1:15" s="140" customFormat="1" ht="22.5" customHeight="1" x14ac:dyDescent="0.2">
      <c r="B10" s="226" t="s">
        <v>71</v>
      </c>
      <c r="C10" s="225" t="s">
        <v>1</v>
      </c>
      <c r="D10" s="195"/>
      <c r="E10" s="225" t="str">
        <f>"Labor @ $" &amp;TEXT('General Variables'!B4,"#.00")&amp; " /Hr"</f>
        <v>Labor @ $20.00 /Hr</v>
      </c>
      <c r="F10" s="225" t="str">
        <f>"Fuel @ $" &amp; TEXT('General Variables'!B5,"#.00") &amp; " and Lube"</f>
        <v>Fuel @ $2.25 and Lube</v>
      </c>
      <c r="G10" s="228" t="s">
        <v>72</v>
      </c>
      <c r="H10" s="228"/>
      <c r="I10" s="228" t="s">
        <v>352</v>
      </c>
      <c r="J10" s="228"/>
      <c r="K10" s="228" t="s">
        <v>2</v>
      </c>
      <c r="L10" s="225" t="s">
        <v>359</v>
      </c>
    </row>
    <row r="11" spans="1:15" s="140" customFormat="1" ht="21.75" customHeight="1" thickBot="1" x14ac:dyDescent="0.25">
      <c r="B11" s="227"/>
      <c r="C11" s="224"/>
      <c r="D11" s="194" t="s">
        <v>70</v>
      </c>
      <c r="E11" s="224"/>
      <c r="F11" s="224"/>
      <c r="G11" s="196" t="s">
        <v>73</v>
      </c>
      <c r="H11" s="196" t="s">
        <v>75</v>
      </c>
      <c r="I11" s="196" t="s">
        <v>73</v>
      </c>
      <c r="J11" s="196" t="s">
        <v>75</v>
      </c>
      <c r="K11" s="229"/>
      <c r="L11" s="224"/>
    </row>
    <row r="12" spans="1:15" ht="13.5" thickTop="1" x14ac:dyDescent="0.2">
      <c r="A12" s="193">
        <v>1</v>
      </c>
      <c r="B12" s="201" t="s">
        <v>568</v>
      </c>
      <c r="C12" s="203">
        <v>1</v>
      </c>
      <c r="D12" s="197"/>
      <c r="E12" s="142">
        <f>IF(B12=0,"",IF(C12&gt;9999,"",ROUND('General Variables'!$B$4*VLOOKUP(B12,Operations!$A$2:$U$101,10,FALSE)/VLOOKUP(B12,Operations!$A$2:$U$101,9,FALSE)*C12,2)))</f>
        <v>2.02</v>
      </c>
      <c r="F12" s="142">
        <f>IF(B12=0,0,IF(C12&gt;9999,"",ROUND(IF(VLOOKUP(B12,Operations!$A$2:$U$101,12,FALSE)=0,VLOOKUP(B12,Operations!$A$2:$U$101,13,FALSE)*'General Variables'!$B$8,VLOOKUP(B12,Operations!$A$2:$U$101,12,FALSE)*'General Variables'!$B$7)/VLOOKUP(B12,Operations!$A$2:$U$101,9,FALSE)*C12,2)))</f>
        <v>1.97</v>
      </c>
      <c r="G12" s="142">
        <f>IF(B12=0,0,IF(C12&gt;9999,"",ROUND(VLOOKUP(VLOOKUP(B12,Operations!$A$2:$U$101,11,FALSE),PowerUnits[],10,FALSE)/VLOOKUP(B12,Operations!$A$2:$U$101,9,FALSE)*C12,2)))</f>
        <v>0.28999999999999998</v>
      </c>
      <c r="H12" s="142">
        <f>IF(B12=0,"",IF(C12&gt;9999,"",ROUND(VLOOKUP($B12,Operations!$A$2:$U$101,15,FALSE)*C12,2)))</f>
        <v>1.24</v>
      </c>
      <c r="I12" s="142">
        <f>IF(B12=0,0,IF(C12&gt;9999,"",ROUND(VLOOKUP(VLOOKUP(B12,Operations!$A$2:$U$101,11,FALSE),PowerUnits[],16,FALSE)/VLOOKUP(B12,Operations!$A$2:$U$101,9,FALSE)*C12,2)))</f>
        <v>4.1399999999999997</v>
      </c>
      <c r="J12" s="142">
        <f>IF(B12=0,"",IF(C12&gt;9999,"",ROUND(VLOOKUP($B12,Operations!$A$2:$U$101,21,FALSE)*$C12,2)))</f>
        <v>1.21</v>
      </c>
      <c r="K12" s="142">
        <f>IF(C12&gt;9999,"",ROUND(SUM(E12:J12),2))</f>
        <v>10.87</v>
      </c>
      <c r="L12" s="143"/>
    </row>
    <row r="13" spans="1:15" x14ac:dyDescent="0.2">
      <c r="A13" s="193">
        <v>2</v>
      </c>
      <c r="B13" s="201" t="s">
        <v>280</v>
      </c>
      <c r="C13" s="203">
        <v>1</v>
      </c>
      <c r="D13" s="197"/>
      <c r="E13" s="142">
        <f>IF(B13=0,"",IF(C13&gt;9999,"",ROUND('General Variables'!$B$4*VLOOKUP(B13,Operations!$A$2:$U$101,10,FALSE)/VLOOKUP(B13,Operations!$A$2:$U$101,9,FALSE)*C13,2)))</f>
        <v>1.47</v>
      </c>
      <c r="F13" s="142">
        <f>IF(B13=0,0,IF(C13&gt;9999,"",ROUND(IF(VLOOKUP(B13,Operations!$A$2:$U$101,12,FALSE)=0,VLOOKUP(B13,Operations!$A$2:$U$101,13,FALSE)*'General Variables'!$B$8,VLOOKUP(B13,Operations!$A$2:$U$101,12,FALSE)*'General Variables'!$B$7)/VLOOKUP(B13,Operations!$A$2:$U$101,9,FALSE)*C13,2)))</f>
        <v>1.41</v>
      </c>
      <c r="G13" s="142">
        <f>IF(B13=0,0,IF(C13&gt;9999,"",ROUND(VLOOKUP(VLOOKUP(B13,Operations!$A$2:$U$101,11,FALSE),PowerUnits[],10,FALSE)/VLOOKUP(B13,Operations!$A$2:$U$101,9,FALSE)*C13,2)))</f>
        <v>0.56000000000000005</v>
      </c>
      <c r="H13" s="142">
        <f>IF(B13=0,"",IF(C13&gt;9999,"",ROUND(VLOOKUP($B13,Operations!$A$2:$U$101,15,FALSE)*C13,2)))</f>
        <v>1.28</v>
      </c>
      <c r="I13" s="142">
        <f>IF(B13=0,0,IF(C13&gt;9999,"",ROUND(VLOOKUP(VLOOKUP(B13,Operations!$A$2:$U$101,11,FALSE),PowerUnits[],16,FALSE)/VLOOKUP(B13,Operations!$A$2:$U$101,9,FALSE)*C13,2)))</f>
        <v>1.84</v>
      </c>
      <c r="J13" s="142">
        <f>IF(B13=0,"",IF(C13&gt;9999,"",ROUND(VLOOKUP($B13,Operations!$A$2:$U$101,21,FALSE)*$C13,2)))</f>
        <v>1.57</v>
      </c>
      <c r="K13" s="142">
        <f t="shared" ref="K13:K25" si="0">IF(C13&gt;9999,"",ROUND(SUM(E13:J13),2))</f>
        <v>8.1300000000000008</v>
      </c>
      <c r="L13" s="143"/>
    </row>
    <row r="14" spans="1:15" x14ac:dyDescent="0.2">
      <c r="A14" s="193">
        <v>3</v>
      </c>
      <c r="B14" s="201" t="s">
        <v>280</v>
      </c>
      <c r="C14" s="203">
        <v>1</v>
      </c>
      <c r="D14" s="197"/>
      <c r="E14" s="142">
        <f>IF(B14=0,"",IF(C14&gt;9999,"",ROUND('General Variables'!$B$4*VLOOKUP(B14,Operations!$A$2:$U$101,10,FALSE)/VLOOKUP(B14,Operations!$A$2:$U$101,9,FALSE)*C14,2)))</f>
        <v>1.47</v>
      </c>
      <c r="F14" s="142">
        <f>IF(B14=0,0,IF(C14&gt;9999,"",ROUND(IF(VLOOKUP(B14,Operations!$A$2:$U$101,12,FALSE)=0,VLOOKUP(B14,Operations!$A$2:$U$101,13,FALSE)*'General Variables'!$B$8,VLOOKUP(B14,Operations!$A$2:$U$101,12,FALSE)*'General Variables'!$B$7)/VLOOKUP(B14,Operations!$A$2:$U$101,9,FALSE)*C14,2)))</f>
        <v>1.41</v>
      </c>
      <c r="G14" s="142">
        <f>IF(B14=0,0,IF(C14&gt;9999,"",ROUND(VLOOKUP(VLOOKUP(B14,Operations!$A$2:$U$101,11,FALSE),PowerUnits[],10,FALSE)/VLOOKUP(B14,Operations!$A$2:$U$101,9,FALSE)*C14,2)))</f>
        <v>0.56000000000000005</v>
      </c>
      <c r="H14" s="142">
        <f>IF(B14=0,"",IF(C14&gt;9999,"",ROUND(VLOOKUP($B14,Operations!$A$2:$U$101,15,FALSE)*C14,2)))</f>
        <v>1.28</v>
      </c>
      <c r="I14" s="142">
        <f>IF(B14=0,0,IF(C14&gt;9999,"",ROUND(VLOOKUP(VLOOKUP(B14,Operations!$A$2:$U$101,11,FALSE),PowerUnits[],16,FALSE)/VLOOKUP(B14,Operations!$A$2:$U$101,9,FALSE)*C14,2)))</f>
        <v>1.84</v>
      </c>
      <c r="J14" s="142">
        <f>IF(B14=0,"",IF(C14&gt;9999,"",ROUND(VLOOKUP($B14,Operations!$A$2:$U$101,21,FALSE)*$C14,2)))</f>
        <v>1.57</v>
      </c>
      <c r="K14" s="142">
        <f t="shared" si="0"/>
        <v>8.1300000000000008</v>
      </c>
      <c r="L14" s="143"/>
    </row>
    <row r="15" spans="1:15" x14ac:dyDescent="0.2">
      <c r="A15" s="193">
        <v>4</v>
      </c>
      <c r="B15" s="201" t="s">
        <v>280</v>
      </c>
      <c r="C15" s="203">
        <v>1</v>
      </c>
      <c r="D15" s="197"/>
      <c r="E15" s="142">
        <f>IF(B15=0,"",IF(C15&gt;9999,"",ROUND('General Variables'!$B$4*VLOOKUP(B15,Operations!$A$2:$U$101,10,FALSE)/VLOOKUP(B15,Operations!$A$2:$U$101,9,FALSE)*C15,2)))</f>
        <v>1.47</v>
      </c>
      <c r="F15" s="142">
        <f>IF(B15=0,0,IF(C15&gt;9999,"",ROUND(IF(VLOOKUP(B15,Operations!$A$2:$U$101,12,FALSE)=0,VLOOKUP(B15,Operations!$A$2:$U$101,13,FALSE)*'General Variables'!$B$8,VLOOKUP(B15,Operations!$A$2:$U$101,12,FALSE)*'General Variables'!$B$7)/VLOOKUP(B15,Operations!$A$2:$U$101,9,FALSE)*C15,2)))</f>
        <v>1.41</v>
      </c>
      <c r="G15" s="142">
        <f>IF(B15=0,0,IF(C15&gt;9999,"",ROUND(VLOOKUP(VLOOKUP(B15,Operations!$A$2:$U$101,11,FALSE),PowerUnits[],10,FALSE)/VLOOKUP(B15,Operations!$A$2:$U$101,9,FALSE)*C15,2)))</f>
        <v>0.56000000000000005</v>
      </c>
      <c r="H15" s="142">
        <f>IF(B15=0,"",IF(C15&gt;9999,"",ROUND(VLOOKUP($B15,Operations!$A$2:$U$101,15,FALSE)*C15,2)))</f>
        <v>1.28</v>
      </c>
      <c r="I15" s="142">
        <f>IF(B15=0,0,IF(C15&gt;9999,"",ROUND(VLOOKUP(VLOOKUP(B15,Operations!$A$2:$U$101,11,FALSE),PowerUnits[],16,FALSE)/VLOOKUP(B15,Operations!$A$2:$U$101,9,FALSE)*C15,2)))</f>
        <v>1.84</v>
      </c>
      <c r="J15" s="142">
        <f>IF(B15=0,"",IF(C15&gt;9999,"",ROUND(VLOOKUP($B15,Operations!$A$2:$U$101,21,FALSE)*$C15,2)))</f>
        <v>1.57</v>
      </c>
      <c r="K15" s="142">
        <f t="shared" si="0"/>
        <v>8.1300000000000008</v>
      </c>
      <c r="L15" s="143"/>
    </row>
    <row r="16" spans="1:15" x14ac:dyDescent="0.2">
      <c r="A16" s="193">
        <v>5</v>
      </c>
      <c r="B16" s="201" t="s">
        <v>289</v>
      </c>
      <c r="C16" s="203">
        <v>1</v>
      </c>
      <c r="D16" s="197"/>
      <c r="E16" s="142">
        <f>IF(B16=0,"",IF(C16&gt;9999,"",ROUND('General Variables'!$B$4*VLOOKUP(B16,Operations!$A$2:$U$101,10,FALSE)/VLOOKUP(B16,Operations!$A$2:$U$101,9,FALSE)*C16,2)))</f>
        <v>1.52</v>
      </c>
      <c r="F16" s="142">
        <f>IF(B16=0,0,IF(C16&gt;9999,"",ROUND(IF(VLOOKUP(B16,Operations!$A$2:$U$101,12,FALSE)=0,VLOOKUP(B16,Operations!$A$2:$U$101,13,FALSE)*'General Variables'!$B$8,VLOOKUP(B16,Operations!$A$2:$U$101,12,FALSE)*'General Variables'!$B$7)/VLOOKUP(B16,Operations!$A$2:$U$101,9,FALSE)*C16,2)))</f>
        <v>1.05</v>
      </c>
      <c r="G16" s="142">
        <f>IF(B16=0,0,IF(C16&gt;9999,"",ROUND(VLOOKUP(VLOOKUP(B16,Operations!$A$2:$U$101,11,FALSE),PowerUnits[],10,FALSE)/VLOOKUP(B16,Operations!$A$2:$U$101,9,FALSE)*C16,2)))</f>
        <v>0.63</v>
      </c>
      <c r="H16" s="142">
        <f>IF(B16=0,"",IF(C16&gt;9999,"",ROUND(VLOOKUP($B16,Operations!$A$2:$U$101,15,FALSE)*C16,2)))</f>
        <v>0.23</v>
      </c>
      <c r="I16" s="142">
        <f>IF(B16=0,0,IF(C16&gt;9999,"",ROUND(VLOOKUP(VLOOKUP(B16,Operations!$A$2:$U$101,11,FALSE),PowerUnits[],16,FALSE)/VLOOKUP(B16,Operations!$A$2:$U$101,9,FALSE)*C16,2)))</f>
        <v>2.09</v>
      </c>
      <c r="J16" s="142">
        <f>IF(B16=0,"",IF(C16&gt;9999,"",ROUND(VLOOKUP($B16,Operations!$A$2:$U$101,21,FALSE)*$C16,2)))</f>
        <v>0.99</v>
      </c>
      <c r="K16" s="142">
        <f t="shared" si="0"/>
        <v>6.51</v>
      </c>
      <c r="L16" s="143"/>
    </row>
    <row r="17" spans="1:12" x14ac:dyDescent="0.2">
      <c r="A17" s="193">
        <v>6</v>
      </c>
      <c r="B17" s="201" t="s">
        <v>499</v>
      </c>
      <c r="C17" s="203">
        <v>1</v>
      </c>
      <c r="D17" s="197"/>
      <c r="E17" s="142">
        <f>IF(B17=0,"",IF(C17&gt;9999,"",ROUND('General Variables'!$B$4*VLOOKUP(B17,Operations!$A$2:$U$101,10,FALSE)/VLOOKUP(B17,Operations!$A$2:$U$101,9,FALSE)*C17,2)))</f>
        <v>1.82</v>
      </c>
      <c r="F17" s="142">
        <f>IF(B17=0,0,IF(C17&gt;9999,"",ROUND(IF(VLOOKUP(B17,Operations!$A$2:$U$101,12,FALSE)=0,VLOOKUP(B17,Operations!$A$2:$U$101,13,FALSE)*'General Variables'!$B$8,VLOOKUP(B17,Operations!$A$2:$U$101,12,FALSE)*'General Variables'!$B$7)/VLOOKUP(B17,Operations!$A$2:$U$101,9,FALSE)*C17,2)))</f>
        <v>1.05</v>
      </c>
      <c r="G17" s="142">
        <f>IF(B17=0,0,IF(C17&gt;9999,"",ROUND(VLOOKUP(VLOOKUP(B17,Operations!$A$2:$U$101,11,FALSE),PowerUnits[],10,FALSE)/VLOOKUP(B17,Operations!$A$2:$U$101,9,FALSE)*C17,2)))</f>
        <v>0.63</v>
      </c>
      <c r="H17" s="142">
        <f>IF(B17=0,"",IF(C17&gt;9999,"",ROUND(VLOOKUP($B17,Operations!$A$2:$U$101,15,FALSE)*C17,2)))</f>
        <v>0.23</v>
      </c>
      <c r="I17" s="142">
        <f>IF(B17=0,0,IF(C17&gt;9999,"",ROUND(VLOOKUP(VLOOKUP(B17,Operations!$A$2:$U$101,11,FALSE),PowerUnits[],16,FALSE)/VLOOKUP(B17,Operations!$A$2:$U$101,9,FALSE)*C17,2)))</f>
        <v>2.09</v>
      </c>
      <c r="J17" s="142">
        <f>IF(B17=0,"",IF(C17&gt;9999,"",ROUND(VLOOKUP($B17,Operations!$A$2:$U$101,21,FALSE)*$C17,2)))</f>
        <v>0.99</v>
      </c>
      <c r="K17" s="142">
        <f t="shared" si="0"/>
        <v>6.81</v>
      </c>
      <c r="L17" s="143"/>
    </row>
    <row r="18" spans="1:12" x14ac:dyDescent="0.2">
      <c r="A18" s="193">
        <v>7</v>
      </c>
      <c r="B18" s="201" t="s">
        <v>277</v>
      </c>
      <c r="C18" s="203">
        <v>1</v>
      </c>
      <c r="D18" s="197"/>
      <c r="E18" s="142">
        <f>IF(B18=0,"",IF(C18&gt;9999,"",ROUND('General Variables'!$B$4*VLOOKUP(B18,Operations!$A$2:$U$101,10,FALSE)/VLOOKUP(B18,Operations!$A$2:$U$101,9,FALSE)*C18,2)))</f>
        <v>1.76</v>
      </c>
      <c r="F18" s="142">
        <f>IF(B18=0,0,IF(C18&gt;9999,"",ROUND(IF(VLOOKUP(B18,Operations!$A$2:$U$101,12,FALSE)=0,VLOOKUP(B18,Operations!$A$2:$U$101,13,FALSE)*'General Variables'!$B$8,VLOOKUP(B18,Operations!$A$2:$U$101,12,FALSE)*'General Variables'!$B$7)/VLOOKUP(B18,Operations!$A$2:$U$101,9,FALSE)*C18,2)))</f>
        <v>1.03</v>
      </c>
      <c r="G18" s="142">
        <f>IF(B18=0,0,IF(C18&gt;9999,"",ROUND(VLOOKUP(VLOOKUP(B18,Operations!$A$2:$U$101,11,FALSE),PowerUnits[],10,FALSE)/VLOOKUP(B18,Operations!$A$2:$U$101,9,FALSE)*C18,2)))</f>
        <v>0.67</v>
      </c>
      <c r="H18" s="142">
        <f>IF(B18=0,"",IF(C18&gt;9999,"",ROUND(VLOOKUP($B18,Operations!$A$2:$U$101,15,FALSE)*C18,2)))</f>
        <v>2.94</v>
      </c>
      <c r="I18" s="142">
        <f>IF(B18=0,0,IF(C18&gt;9999,"",ROUND(VLOOKUP(VLOOKUP(B18,Operations!$A$2:$U$101,11,FALSE),PowerUnits[],16,FALSE)/VLOOKUP(B18,Operations!$A$2:$U$101,9,FALSE)*C18,2)))</f>
        <v>2.21</v>
      </c>
      <c r="J18" s="142">
        <f>IF(B18=0,"",IF(C18&gt;9999,"",ROUND(VLOOKUP($B18,Operations!$A$2:$U$101,21,FALSE)*$C18,2)))</f>
        <v>2.62</v>
      </c>
      <c r="K18" s="142">
        <f t="shared" si="0"/>
        <v>11.23</v>
      </c>
      <c r="L18" s="143"/>
    </row>
    <row r="19" spans="1:12" x14ac:dyDescent="0.2">
      <c r="A19" s="193">
        <v>8</v>
      </c>
      <c r="B19" s="201" t="s">
        <v>51</v>
      </c>
      <c r="C19" s="203">
        <v>1</v>
      </c>
      <c r="D19" s="144"/>
      <c r="E19" s="142">
        <f>IF(B19=0,"",IF(C19&gt;9999,"",ROUND('General Variables'!$B$4*VLOOKUP(B19,Operations!$A$2:$U$101,10,FALSE)/VLOOKUP(B19,Operations!$A$2:$U$101,9,FALSE)*C19,2)))</f>
        <v>1</v>
      </c>
      <c r="F19" s="142">
        <f>IF(B19=0,0,IF(C19&gt;9999,"",ROUND(IF(VLOOKUP(B19,Operations!$A$2:$U$101,12,FALSE)=0,VLOOKUP(B19,Operations!$A$2:$U$101,13,FALSE)*'General Variables'!$B$8,VLOOKUP(B19,Operations!$A$2:$U$101,12,FALSE)*'General Variables'!$B$7)/VLOOKUP(B19,Operations!$A$2:$U$101,9,FALSE)*C19,2)))</f>
        <v>0.27</v>
      </c>
      <c r="G19" s="142">
        <f>IF(B19=0,0,IF(C19&gt;9999,"",ROUND(VLOOKUP(VLOOKUP(B19,Operations!$A$2:$U$101,11,FALSE),PowerUnits[],10,FALSE)/VLOOKUP(B19,Operations!$A$2:$U$101,9,FALSE)*C19,2)))</f>
        <v>0.33</v>
      </c>
      <c r="H19" s="142">
        <f>IF(B19=0,"",IF(C19&gt;9999,"",ROUND(VLOOKUP($B19,Operations!$A$2:$U$101,15,FALSE)*C19,2)))</f>
        <v>0.64</v>
      </c>
      <c r="I19" s="142">
        <f>IF(B19=0,0,IF(C19&gt;9999,"",ROUND(VLOOKUP(VLOOKUP(B19,Operations!$A$2:$U$101,11,FALSE),PowerUnits[],16,FALSE)/VLOOKUP(B19,Operations!$A$2:$U$101,9,FALSE)*C19,2)))</f>
        <v>1.1100000000000001</v>
      </c>
      <c r="J19" s="142">
        <f>IF(B19=0,"",IF(C19&gt;9999,"",ROUND(VLOOKUP($B19,Operations!$A$2:$U$101,21,FALSE)*$C19,2)))</f>
        <v>0.88</v>
      </c>
      <c r="K19" s="142">
        <f t="shared" si="0"/>
        <v>4.2300000000000004</v>
      </c>
      <c r="L19" s="143"/>
    </row>
    <row r="20" spans="1:12" x14ac:dyDescent="0.2">
      <c r="A20" s="193">
        <v>9</v>
      </c>
      <c r="B20" s="201" t="s">
        <v>17</v>
      </c>
      <c r="C20" s="203" t="s">
        <v>3</v>
      </c>
      <c r="D20" s="144"/>
      <c r="E20" s="142" t="str">
        <f>IF(B20=0,"",IF(C20&gt;9999,"",ROUND('General Variables'!$B$4*VLOOKUP(B20,Operations!$A$2:$U$101,10,FALSE)/VLOOKUP(B20,Operations!$A$2:$U$101,9,FALSE)*C20,2)))</f>
        <v/>
      </c>
      <c r="F20" s="142" t="str">
        <f>IF(B20=0,0,IF(C20&gt;9999,"",ROUND(IF(VLOOKUP(B20,Operations!$A$2:$U$101,12,FALSE)=0,VLOOKUP(B20,Operations!$A$2:$U$101,13,FALSE)*'General Variables'!$B$8,VLOOKUP(B20,Operations!$A$2:$U$101,12,FALSE)*'General Variables'!$B$7)/VLOOKUP(B20,Operations!$A$2:$U$101,9,FALSE)*C20,2)))</f>
        <v/>
      </c>
      <c r="G20" s="142" t="str">
        <f>IF(B20=0,0,IF(C20&gt;9999,"",ROUND(VLOOKUP(VLOOKUP(B20,Operations!$A$2:$U$101,11,FALSE),PowerUnits[],10,FALSE)/VLOOKUP(B20,Operations!$A$2:$U$101,9,FALSE)*C20,2)))</f>
        <v/>
      </c>
      <c r="H20" s="142" t="str">
        <f>IF(B20=0,"",IF(C20&gt;9999,"",ROUND(VLOOKUP($B20,Operations!$A$2:$U$101,15,FALSE)*C20,2)))</f>
        <v/>
      </c>
      <c r="I20" s="142" t="str">
        <f>IF(B20=0,0,IF(C20&gt;9999,"",ROUND(VLOOKUP(VLOOKUP(B20,Operations!$A$2:$U$101,11,FALSE),PowerUnits[],16,FALSE)/VLOOKUP(B20,Operations!$A$2:$U$101,9,FALSE)*C20,2)))</f>
        <v/>
      </c>
      <c r="J20" s="142" t="str">
        <f>IF(B20=0,"",IF(C20&gt;9999,"",ROUND(VLOOKUP($B20,Operations!$A$2:$U$101,21,FALSE)*$C20,2)))</f>
        <v/>
      </c>
      <c r="K20" s="142" t="str">
        <f t="shared" si="0"/>
        <v/>
      </c>
      <c r="L20" s="143"/>
    </row>
    <row r="21" spans="1:12" x14ac:dyDescent="0.2">
      <c r="A21" s="193">
        <v>10</v>
      </c>
      <c r="B21" s="201" t="s">
        <v>17</v>
      </c>
      <c r="C21" s="203" t="s">
        <v>3</v>
      </c>
      <c r="D21" s="144"/>
      <c r="E21" s="142" t="str">
        <f>IF(B21=0,"",IF(C21&gt;9999,"",ROUND('General Variables'!$B$4*VLOOKUP(B21,Operations!$A$2:$U$101,10,FALSE)/VLOOKUP(B21,Operations!$A$2:$U$101,9,FALSE)*C21,2)))</f>
        <v/>
      </c>
      <c r="F21" s="142" t="str">
        <f>IF(B21=0,0,IF(C21&gt;9999,"",ROUND(IF(VLOOKUP(B21,Operations!$A$2:$U$101,12,FALSE)=0,VLOOKUP(B21,Operations!$A$2:$U$101,13,FALSE)*'General Variables'!$B$8,VLOOKUP(B21,Operations!$A$2:$U$101,12,FALSE)*'General Variables'!$B$7)/VLOOKUP(B21,Operations!$A$2:$U$101,9,FALSE)*C21,2)))</f>
        <v/>
      </c>
      <c r="G21" s="142" t="str">
        <f>IF(B21=0,0,IF(C21&gt;9999,"",ROUND(VLOOKUP(VLOOKUP(B21,Operations!$A$2:$U$101,11,FALSE),PowerUnits[],10,FALSE)/VLOOKUP(B21,Operations!$A$2:$U$101,9,FALSE)*C21,2)))</f>
        <v/>
      </c>
      <c r="H21" s="142" t="str">
        <f>IF(B21=0,"",IF(C21&gt;9999,"",ROUND(VLOOKUP($B21,Operations!$A$2:$U$101,15,FALSE)*C21,2)))</f>
        <v/>
      </c>
      <c r="I21" s="142" t="str">
        <f>IF(B21=0,0,IF(C21&gt;9999,"",ROUND(VLOOKUP(VLOOKUP(B21,Operations!$A$2:$U$101,11,FALSE),PowerUnits[],16,FALSE)/VLOOKUP(B21,Operations!$A$2:$U$101,9,FALSE)*C21,2)))</f>
        <v/>
      </c>
      <c r="J21" s="142" t="str">
        <f>IF(B21=0,"",IF(C21&gt;9999,"",ROUND(VLOOKUP($B21,Operations!$A$2:$U$101,21,FALSE)*$C21,2)))</f>
        <v/>
      </c>
      <c r="K21" s="142" t="str">
        <f t="shared" si="0"/>
        <v/>
      </c>
      <c r="L21" s="143"/>
    </row>
    <row r="22" spans="1:12" x14ac:dyDescent="0.2">
      <c r="A22" s="193">
        <v>11</v>
      </c>
      <c r="B22" s="201" t="s">
        <v>491</v>
      </c>
      <c r="C22" s="203">
        <v>1</v>
      </c>
      <c r="D22" s="144"/>
      <c r="E22" s="142">
        <f>IF(B22=0,"",IF(C22&gt;9999,"",ROUND('General Variables'!$B$4*VLOOKUP(B22,Operations!$A$2:$U$101,10,FALSE)/VLOOKUP(B22,Operations!$A$2:$U$101,9,FALSE)*C22,2)))</f>
        <v>3.14</v>
      </c>
      <c r="F22" s="142">
        <f>IF(B22=0,0,IF(C22&gt;9999,"",ROUND(IF(VLOOKUP(B22,Operations!$A$2:$U$101,12,FALSE)=0,VLOOKUP(B22,Operations!$A$2:$U$101,13,FALSE)*'General Variables'!$B$8,VLOOKUP(B22,Operations!$A$2:$U$101,12,FALSE)*'General Variables'!$B$7)/VLOOKUP(B22,Operations!$A$2:$U$101,9,FALSE)*C22,2)))</f>
        <v>3.87</v>
      </c>
      <c r="G22" s="142">
        <f>IF(B22=0,0,IF(C22&gt;9999,"",ROUND(VLOOKUP(VLOOKUP(B22,Operations!$A$2:$U$101,11,FALSE),PowerUnits[],10,FALSE)/VLOOKUP(B22,Operations!$A$2:$U$101,9,FALSE)*C22,2)))</f>
        <v>7.31</v>
      </c>
      <c r="H22" s="142">
        <f>IF(B22=0,"",IF(C22&gt;9999,"",ROUND(VLOOKUP($B22,Operations!$A$2:$U$101,15,FALSE)*C22,2)))</f>
        <v>0.93</v>
      </c>
      <c r="I22" s="142">
        <f>IF(B22=0,0,IF(C22&gt;9999,"",ROUND(VLOOKUP(VLOOKUP(B22,Operations!$A$2:$U$101,11,FALSE),PowerUnits[],16,FALSE)/VLOOKUP(B22,Operations!$A$2:$U$101,9,FALSE)*C22,2)))</f>
        <v>5.99</v>
      </c>
      <c r="J22" s="142">
        <f>IF(B22=0,"",IF(C22&gt;9999,"",ROUND(VLOOKUP($B22,Operations!$A$2:$U$101,21,FALSE)*$C22,2)))</f>
        <v>2.81</v>
      </c>
      <c r="K22" s="142">
        <f t="shared" si="0"/>
        <v>24.05</v>
      </c>
      <c r="L22" s="143"/>
    </row>
    <row r="23" spans="1:12" x14ac:dyDescent="0.2">
      <c r="A23" s="193">
        <v>12</v>
      </c>
      <c r="B23" s="201" t="s">
        <v>296</v>
      </c>
      <c r="C23" s="203" t="s">
        <v>3</v>
      </c>
      <c r="D23" s="144"/>
      <c r="E23" s="142" t="str">
        <f>IF(B23=0,"",IF(C23&gt;9999,"",ROUND('General Variables'!$B$4*VLOOKUP(B23,Operations!$A$2:$U$101,10,FALSE)/VLOOKUP(B23,Operations!$A$2:$U$101,9,FALSE)*C23,2)))</f>
        <v/>
      </c>
      <c r="F23" s="142" t="str">
        <f>IF(B23=0,0,IF(C23&gt;9999,"",ROUND(IF(VLOOKUP(B23,Operations!$A$2:$U$101,12,FALSE)=0,VLOOKUP(B23,Operations!$A$2:$U$101,13,FALSE)*'General Variables'!$B$8,VLOOKUP(B23,Operations!$A$2:$U$101,12,FALSE)*'General Variables'!$B$7)/VLOOKUP(B23,Operations!$A$2:$U$101,9,FALSE)*C23,2)))</f>
        <v/>
      </c>
      <c r="G23" s="142" t="str">
        <f>IF(B23=0,0,IF(C23&gt;9999,"",ROUND(VLOOKUP(VLOOKUP(B23,Operations!$A$2:$U$101,11,FALSE),PowerUnits[],10,FALSE)/VLOOKUP(B23,Operations!$A$2:$U$101,9,FALSE)*C23,2)))</f>
        <v/>
      </c>
      <c r="H23" s="142" t="str">
        <f>IF(B23=0,"",IF(C23&gt;9999,"",ROUND(VLOOKUP($B23,Operations!$A$2:$U$101,15,FALSE)*C23,2)))</f>
        <v/>
      </c>
      <c r="I23" s="142" t="str">
        <f>IF(B23=0,0,IF(C23&gt;9999,"",ROUND(VLOOKUP(VLOOKUP(B23,Operations!$A$2:$U$101,11,FALSE),PowerUnits[],16,FALSE)/VLOOKUP(B23,Operations!$A$2:$U$101,9,FALSE)*C23,2)))</f>
        <v/>
      </c>
      <c r="J23" s="142" t="str">
        <f>IF(B23=0,"",IF(C23&gt;9999,"",ROUND(VLOOKUP($B23,Operations!$A$2:$U$101,21,FALSE)*$C23,2)))</f>
        <v/>
      </c>
      <c r="K23" s="142" t="str">
        <f t="shared" si="0"/>
        <v/>
      </c>
      <c r="L23" s="143"/>
    </row>
    <row r="24" spans="1:12" hidden="1" x14ac:dyDescent="0.2">
      <c r="A24" s="193">
        <v>13</v>
      </c>
      <c r="B24" s="201"/>
      <c r="C24" s="203"/>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3">
        <v>14</v>
      </c>
      <c r="B25" s="202"/>
      <c r="C25" s="204"/>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3">
        <v>15</v>
      </c>
      <c r="B26" s="202"/>
      <c r="C26" s="204"/>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ref="K26:K31" si="1">IF(C26&gt;9999,"",ROUND(SUM(E26:J26),2))</f>
        <v>0</v>
      </c>
      <c r="L26" s="143"/>
    </row>
    <row r="27" spans="1:12" hidden="1" x14ac:dyDescent="0.2">
      <c r="A27" s="193">
        <v>16</v>
      </c>
      <c r="B27" s="202"/>
      <c r="C27" s="204"/>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1"/>
        <v>0</v>
      </c>
      <c r="L27" s="143"/>
    </row>
    <row r="28" spans="1:12" hidden="1" x14ac:dyDescent="0.2">
      <c r="A28" s="193">
        <v>17</v>
      </c>
      <c r="B28" s="202"/>
      <c r="C28" s="204"/>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1"/>
        <v>0</v>
      </c>
      <c r="L28" s="143"/>
    </row>
    <row r="29" spans="1:12" hidden="1" x14ac:dyDescent="0.2">
      <c r="A29" s="193">
        <v>18</v>
      </c>
      <c r="B29" s="202"/>
      <c r="C29" s="204"/>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1"/>
        <v>0</v>
      </c>
      <c r="L29" s="143"/>
    </row>
    <row r="30" spans="1:12" hidden="1" x14ac:dyDescent="0.2">
      <c r="A30" s="193">
        <v>19</v>
      </c>
      <c r="B30" s="202"/>
      <c r="C30" s="204"/>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1"/>
        <v>0</v>
      </c>
      <c r="L30" s="143"/>
    </row>
    <row r="31" spans="1:12" hidden="1" x14ac:dyDescent="0.2">
      <c r="A31" s="193">
        <v>20</v>
      </c>
      <c r="B31" s="202"/>
      <c r="C31" s="204"/>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1"/>
        <v>0</v>
      </c>
      <c r="L31" s="143"/>
    </row>
    <row r="32" spans="1:12" ht="3" customHeight="1" thickBot="1" x14ac:dyDescent="0.25">
      <c r="A32" s="193"/>
      <c r="B32" s="146"/>
      <c r="C32" s="147"/>
      <c r="D32" s="147"/>
      <c r="E32" s="148"/>
      <c r="F32" s="148"/>
      <c r="G32" s="148"/>
      <c r="H32" s="148"/>
      <c r="I32" s="148"/>
      <c r="J32" s="148"/>
      <c r="K32" s="148"/>
      <c r="L32" s="149"/>
    </row>
    <row r="33" spans="1:12" ht="13.5" thickTop="1" x14ac:dyDescent="0.2">
      <c r="C33" s="139" t="s">
        <v>74</v>
      </c>
      <c r="D33" s="139"/>
      <c r="E33" s="150">
        <f t="shared" ref="E33:K33" si="2">SUM(E12:E31)</f>
        <v>15.67</v>
      </c>
      <c r="F33" s="150">
        <f t="shared" si="2"/>
        <v>13.469999999999999</v>
      </c>
      <c r="G33" s="150">
        <f t="shared" si="2"/>
        <v>11.54</v>
      </c>
      <c r="H33" s="150">
        <f t="shared" si="2"/>
        <v>10.050000000000001</v>
      </c>
      <c r="I33" s="150">
        <f t="shared" si="2"/>
        <v>23.15</v>
      </c>
      <c r="J33" s="150">
        <f t="shared" si="2"/>
        <v>14.210000000000003</v>
      </c>
      <c r="K33" s="150">
        <f t="shared" si="2"/>
        <v>88.09</v>
      </c>
      <c r="L33" s="143"/>
    </row>
    <row r="35" spans="1:12" ht="24" customHeight="1" thickBot="1" x14ac:dyDescent="0.25">
      <c r="B35" s="136"/>
      <c r="C35" s="136"/>
      <c r="D35" s="136"/>
      <c r="E35" s="136"/>
      <c r="F35" s="224" t="s">
        <v>85</v>
      </c>
      <c r="G35" s="224" t="s">
        <v>82</v>
      </c>
      <c r="H35" s="225" t="s">
        <v>86</v>
      </c>
      <c r="I35" s="225"/>
      <c r="J35" s="224" t="s">
        <v>62</v>
      </c>
      <c r="L35" s="225" t="s">
        <v>359</v>
      </c>
    </row>
    <row r="36" spans="1:12" s="151" customFormat="1" ht="18.75" customHeight="1" thickTop="1" thickBot="1" x14ac:dyDescent="0.25">
      <c r="B36" s="152" t="s">
        <v>81</v>
      </c>
      <c r="C36" s="194"/>
      <c r="D36" s="194"/>
      <c r="E36" s="194"/>
      <c r="F36" s="224"/>
      <c r="G36" s="224"/>
      <c r="H36" s="189" t="s">
        <v>87</v>
      </c>
      <c r="I36" s="190" t="s">
        <v>70</v>
      </c>
      <c r="J36" s="224"/>
      <c r="K36" s="194" t="s">
        <v>83</v>
      </c>
      <c r="L36" s="224"/>
    </row>
    <row r="37" spans="1:12" ht="13.5" thickTop="1" x14ac:dyDescent="0.2">
      <c r="A37" s="175"/>
      <c r="B37" s="201" t="s">
        <v>398</v>
      </c>
      <c r="C37" s="218" t="str">
        <f>IF(B37=0,"",VLOOKUP($B37,Materials!$B$2:$H$127,2,FALSE))</f>
        <v>Fertilizer</v>
      </c>
      <c r="D37" s="218"/>
      <c r="E37" s="218"/>
      <c r="F37" s="203">
        <v>6</v>
      </c>
      <c r="G37" s="205">
        <v>1</v>
      </c>
      <c r="H37" s="206">
        <v>50</v>
      </c>
      <c r="I37" s="153" t="str">
        <f>IF($B37=0,"",VLOOKUP($B37,Materials!$B$2:$H$127,5,FALSE))</f>
        <v>lbs N</v>
      </c>
      <c r="J37" s="142">
        <f>IF($B37=0,"",VLOOKUP($B37,Materials!$B$2:$H$127,7,FALSE))</f>
        <v>0.47</v>
      </c>
      <c r="K37" s="150">
        <f>IF(B37=0,0,ROUND(G37*H37*J37,2))</f>
        <v>23.5</v>
      </c>
      <c r="L37" s="143"/>
    </row>
    <row r="38" spans="1:12" x14ac:dyDescent="0.2">
      <c r="A38" s="175"/>
      <c r="B38" s="201" t="s">
        <v>6</v>
      </c>
      <c r="C38" s="218" t="str">
        <f>IF(B38=0,"",VLOOKUP($B38,Materials!$B$2:$H$127,2,FALSE))</f>
        <v>Fertilizer</v>
      </c>
      <c r="D38" s="218"/>
      <c r="E38" s="218"/>
      <c r="F38" s="203">
        <v>7</v>
      </c>
      <c r="G38" s="205">
        <v>1</v>
      </c>
      <c r="H38" s="206">
        <v>8</v>
      </c>
      <c r="I38" s="153" t="str">
        <f>IF($B38=0,"",VLOOKUP($B38,Materials!$B$2:$H$127,5,FALSE))</f>
        <v>gallon</v>
      </c>
      <c r="J38" s="142">
        <f>IF($B38=0,"",VLOOKUP($B38,Materials!$B$2:$H$127,7,FALSE))</f>
        <v>2.8</v>
      </c>
      <c r="K38" s="150">
        <f t="shared" ref="K38:K53" si="3">IF(B38=0,0,ROUND(G38*H38*J38,2))</f>
        <v>22.4</v>
      </c>
      <c r="L38" s="143"/>
    </row>
    <row r="39" spans="1:12" x14ac:dyDescent="0.2">
      <c r="A39" s="175"/>
      <c r="B39" s="201" t="s">
        <v>574</v>
      </c>
      <c r="C39" s="218" t="str">
        <f>IF(B39=0,"",VLOOKUP($B39,Materials!$B$2:$H$127,2,FALSE))</f>
        <v>Seed</v>
      </c>
      <c r="D39" s="218"/>
      <c r="E39" s="218"/>
      <c r="F39" s="203">
        <v>7</v>
      </c>
      <c r="G39" s="205">
        <v>1</v>
      </c>
      <c r="H39" s="206">
        <v>50</v>
      </c>
      <c r="I39" s="153" t="str">
        <f>IF($B39=0,"",VLOOKUP($B39,Materials!$B$2:$H$127,5,FALSE))</f>
        <v>pound</v>
      </c>
      <c r="J39" s="142">
        <f>IF($B39=0,"",VLOOKUP($B39,Materials!$B$2:$H$127,7,FALSE))</f>
        <v>0.31</v>
      </c>
      <c r="K39" s="150">
        <f t="shared" si="3"/>
        <v>15.5</v>
      </c>
      <c r="L39" s="143"/>
    </row>
    <row r="40" spans="1:12" x14ac:dyDescent="0.2">
      <c r="A40" s="175"/>
      <c r="B40" s="201" t="s">
        <v>12</v>
      </c>
      <c r="C40" s="218" t="str">
        <f>IF(B40=0,"",VLOOKUP($B40,Materials!$B$2:$H$127,2,FALSE))</f>
        <v>Herbicide</v>
      </c>
      <c r="D40" s="218"/>
      <c r="E40" s="218"/>
      <c r="F40" s="203">
        <v>8</v>
      </c>
      <c r="G40" s="205">
        <v>1</v>
      </c>
      <c r="H40" s="206">
        <v>0.5</v>
      </c>
      <c r="I40" s="153" t="str">
        <f>IF($B40=0,"",VLOOKUP($B40,Materials!$B$2:$H$127,5,FALSE))</f>
        <v>pint</v>
      </c>
      <c r="J40" s="142">
        <f>IF($B40=0,"",VLOOKUP($B40,Materials!$B$2:$H$127,7,FALSE))</f>
        <v>2.5625</v>
      </c>
      <c r="K40" s="150">
        <f t="shared" si="3"/>
        <v>1.28</v>
      </c>
      <c r="L40" s="143"/>
    </row>
    <row r="41" spans="1:12" x14ac:dyDescent="0.2">
      <c r="A41" s="175"/>
      <c r="B41" s="201" t="s">
        <v>432</v>
      </c>
      <c r="C41" s="218" t="str">
        <f>IF(B41=0,"",VLOOKUP($B41,Materials!$B$2:$H$127,2,FALSE))</f>
        <v>Herbicide</v>
      </c>
      <c r="D41" s="218"/>
      <c r="E41" s="218"/>
      <c r="F41" s="203">
        <v>8</v>
      </c>
      <c r="G41" s="205">
        <v>1</v>
      </c>
      <c r="H41" s="206">
        <v>0.3</v>
      </c>
      <c r="I41" s="153" t="str">
        <f>IF($B41=0,"",VLOOKUP($B41,Materials!$B$2:$H$127,5,FALSE))</f>
        <v>ounce</v>
      </c>
      <c r="J41" s="142">
        <f>IF($B41=0,"",VLOOKUP($B41,Materials!$B$2:$H$127,7,FALSE))</f>
        <v>9</v>
      </c>
      <c r="K41" s="150">
        <f t="shared" si="3"/>
        <v>2.7</v>
      </c>
      <c r="L41" s="143"/>
    </row>
    <row r="42" spans="1:12" x14ac:dyDescent="0.2">
      <c r="A42" s="175"/>
      <c r="B42" s="201" t="s">
        <v>41</v>
      </c>
      <c r="C42" s="218" t="str">
        <f>IF(B42=0,"",VLOOKUP($B42,Materials!$B$2:$H$127,2,FALSE))</f>
        <v>Additive</v>
      </c>
      <c r="D42" s="218"/>
      <c r="E42" s="218"/>
      <c r="F42" s="203">
        <v>8</v>
      </c>
      <c r="G42" s="205">
        <v>1</v>
      </c>
      <c r="H42" s="206">
        <v>6</v>
      </c>
      <c r="I42" s="153" t="str">
        <f>IF($B42=0,"",VLOOKUP($B42,Materials!$B$2:$H$127,5,FALSE))</f>
        <v>ounce</v>
      </c>
      <c r="J42" s="142">
        <f>IF($B42=0,"",VLOOKUP($B42,Materials!$B$2:$H$127,7,FALSE))</f>
        <v>0.171875</v>
      </c>
      <c r="K42" s="150">
        <f t="shared" si="3"/>
        <v>1.03</v>
      </c>
      <c r="L42" s="143"/>
    </row>
    <row r="43" spans="1:12" x14ac:dyDescent="0.2">
      <c r="A43" s="162" t="s">
        <v>381</v>
      </c>
      <c r="B43" s="201" t="s">
        <v>17</v>
      </c>
      <c r="C43" s="218" t="str">
        <f>IF(B43=0,"",VLOOKUP($B43,Materials!$B$2:$H$127,2,FALSE))</f>
        <v>Custom</v>
      </c>
      <c r="D43" s="218"/>
      <c r="E43" s="218"/>
      <c r="F43" s="203">
        <v>9</v>
      </c>
      <c r="G43" s="205">
        <v>0.2</v>
      </c>
      <c r="H43" s="206">
        <v>1</v>
      </c>
      <c r="I43" s="153" t="str">
        <f>IF($B43=0,"",VLOOKUP($B43,Materials!$B$2:$H$127,5,FALSE))</f>
        <v>acre</v>
      </c>
      <c r="J43" s="142">
        <f>IF($B43=0,"",VLOOKUP($B43,Materials!$B$2:$H$127,7,FALSE))</f>
        <v>9.5</v>
      </c>
      <c r="K43" s="150">
        <f t="shared" si="3"/>
        <v>1.9</v>
      </c>
      <c r="L43" s="143"/>
    </row>
    <row r="44" spans="1:12" x14ac:dyDescent="0.2">
      <c r="A44" s="162" t="s">
        <v>381</v>
      </c>
      <c r="B44" s="201" t="s">
        <v>54</v>
      </c>
      <c r="C44" s="218" t="str">
        <f>IF(B44=0,"",VLOOKUP($B44,Materials!$B$2:$H$127,2,FALSE))</f>
        <v>Fungicide</v>
      </c>
      <c r="D44" s="218"/>
      <c r="E44" s="218"/>
      <c r="F44" s="203">
        <v>9</v>
      </c>
      <c r="G44" s="205">
        <v>0.2</v>
      </c>
      <c r="H44" s="206">
        <v>4</v>
      </c>
      <c r="I44" s="153" t="str">
        <f>IF($B44=0,"",VLOOKUP($B44,Materials!$B$2:$H$127,5,FALSE))</f>
        <v>ounce</v>
      </c>
      <c r="J44" s="142">
        <f>IF($B44=0,"",VLOOKUP($B44,Materials!$B$2:$H$127,7,FALSE))</f>
        <v>0.8203125</v>
      </c>
      <c r="K44" s="150">
        <f t="shared" si="3"/>
        <v>0.66</v>
      </c>
      <c r="L44" s="143"/>
    </row>
    <row r="45" spans="1:12" x14ac:dyDescent="0.2">
      <c r="A45" s="162" t="s">
        <v>382</v>
      </c>
      <c r="B45" s="201" t="s">
        <v>17</v>
      </c>
      <c r="C45" s="218" t="str">
        <f>IF(B45=0,"",VLOOKUP($B45,Materials!$B$2:$H$127,2,FALSE))</f>
        <v>Custom</v>
      </c>
      <c r="D45" s="218"/>
      <c r="E45" s="218"/>
      <c r="F45" s="203">
        <v>10</v>
      </c>
      <c r="G45" s="205">
        <v>0.15</v>
      </c>
      <c r="H45" s="206">
        <v>1</v>
      </c>
      <c r="I45" s="153" t="str">
        <f>IF($B45=0,"",VLOOKUP($B45,Materials!$B$2:$H$127,5,FALSE))</f>
        <v>acre</v>
      </c>
      <c r="J45" s="142">
        <f>IF($B45=0,"",VLOOKUP($B45,Materials!$B$2:$H$127,7,FALSE))</f>
        <v>9.5</v>
      </c>
      <c r="K45" s="150">
        <f t="shared" si="3"/>
        <v>1.43</v>
      </c>
      <c r="L45" s="143"/>
    </row>
    <row r="46" spans="1:12" x14ac:dyDescent="0.2">
      <c r="A46" s="162" t="s">
        <v>382</v>
      </c>
      <c r="B46" s="201" t="s">
        <v>533</v>
      </c>
      <c r="C46" s="218" t="str">
        <f>IF(B46=0,"",VLOOKUP($B46,Materials!$B$2:$H$127,2,FALSE))</f>
        <v>Insecticide</v>
      </c>
      <c r="D46" s="218"/>
      <c r="E46" s="218"/>
      <c r="F46" s="203">
        <v>10</v>
      </c>
      <c r="G46" s="205">
        <v>0.1</v>
      </c>
      <c r="H46" s="206">
        <v>1</v>
      </c>
      <c r="I46" s="153" t="str">
        <f>IF($B46=0,"",VLOOKUP($B46,Materials!$B$2:$H$127,5,FALSE))</f>
        <v>pint</v>
      </c>
      <c r="J46" s="142">
        <f>IF($B46=0,"",VLOOKUP($B46,Materials!$B$2:$H$127,7,FALSE))</f>
        <v>6.875</v>
      </c>
      <c r="K46" s="150">
        <f t="shared" si="3"/>
        <v>0.69</v>
      </c>
      <c r="L46" s="143"/>
    </row>
    <row r="47" spans="1:12" x14ac:dyDescent="0.2">
      <c r="A47" s="162" t="s">
        <v>382</v>
      </c>
      <c r="B47" s="201" t="s">
        <v>384</v>
      </c>
      <c r="C47" s="218" t="str">
        <f>IF(B47=0,"",VLOOKUP($B47,Materials!$B$2:$H$127,2,FALSE))</f>
        <v>Insecticide</v>
      </c>
      <c r="D47" s="218"/>
      <c r="E47" s="218"/>
      <c r="F47" s="203">
        <v>10</v>
      </c>
      <c r="G47" s="205">
        <v>0.05</v>
      </c>
      <c r="H47" s="206">
        <v>1.92</v>
      </c>
      <c r="I47" s="153" t="str">
        <f>IF($B47=0,"",VLOOKUP($B47,Materials!$B$2:$H$127,5,FALSE))</f>
        <v>ounce</v>
      </c>
      <c r="J47" s="142">
        <f>IF($B47=0,"",VLOOKUP($B47,Materials!$B$2:$H$127,7,FALSE))</f>
        <v>2.96875</v>
      </c>
      <c r="K47" s="150">
        <f t="shared" si="3"/>
        <v>0.28999999999999998</v>
      </c>
      <c r="L47" s="143"/>
    </row>
    <row r="48" spans="1:12" x14ac:dyDescent="0.2">
      <c r="A48" s="175"/>
      <c r="B48" s="201" t="s">
        <v>586</v>
      </c>
      <c r="C48" s="218" t="str">
        <f>IF(B48=0,"",VLOOKUP($B48,Materials!$B$2:$H$127,2,FALSE))</f>
        <v>Custom</v>
      </c>
      <c r="D48" s="218"/>
      <c r="E48" s="218"/>
      <c r="F48" s="203">
        <v>12</v>
      </c>
      <c r="G48" s="205">
        <v>1</v>
      </c>
      <c r="H48" s="206">
        <f>$A$4</f>
        <v>45</v>
      </c>
      <c r="I48" s="153" t="str">
        <f>IF($B48=0,"",VLOOKUP($B48,Materials!$B$2:$H$127,5,FALSE))</f>
        <v>bushel</v>
      </c>
      <c r="J48" s="142">
        <f>IF($B48=0,"",VLOOKUP($B48,Materials!$B$2:$H$127,7,FALSE))</f>
        <v>0.11</v>
      </c>
      <c r="K48" s="150">
        <f t="shared" si="3"/>
        <v>4.95</v>
      </c>
      <c r="L48" s="143"/>
    </row>
    <row r="49" spans="1:12" x14ac:dyDescent="0.2">
      <c r="A49" s="180"/>
      <c r="B49" s="201" t="s">
        <v>538</v>
      </c>
      <c r="C49" s="218" t="str">
        <f>IF(B49=0,"",VLOOKUP($B49,Materials!$B$2:$H$127,2,FALSE))</f>
        <v>Scouting</v>
      </c>
      <c r="D49" s="218"/>
      <c r="E49" s="218"/>
      <c r="F49" s="203"/>
      <c r="G49" s="205">
        <v>1</v>
      </c>
      <c r="H49" s="206">
        <v>1</v>
      </c>
      <c r="I49" s="153" t="str">
        <f>IF($B49=0,"",VLOOKUP($B49,Materials!$B$2:$H$127,5,FALSE))</f>
        <v>acre</v>
      </c>
      <c r="J49" s="142">
        <f>IF($B49=0,"",VLOOKUP($B49,Materials!$B$2:$H$127,7,FALSE))</f>
        <v>7</v>
      </c>
      <c r="K49" s="150">
        <f t="shared" si="3"/>
        <v>7</v>
      </c>
      <c r="L49" s="143"/>
    </row>
    <row r="50" spans="1:12" hidden="1" x14ac:dyDescent="0.2">
      <c r="A50" s="175"/>
      <c r="B50" s="201"/>
      <c r="C50" s="218" t="str">
        <f>IF(B50=0,"",VLOOKUP($B50,Materials!$B$2:$H$127,2,FALSE))</f>
        <v/>
      </c>
      <c r="D50" s="218"/>
      <c r="E50" s="218"/>
      <c r="F50" s="203"/>
      <c r="G50" s="205"/>
      <c r="H50" s="206"/>
      <c r="I50" s="153" t="str">
        <f>IF($B50=0,"",VLOOKUP($B50,Materials!$B$2:$H$127,5,FALSE))</f>
        <v/>
      </c>
      <c r="J50" s="142" t="str">
        <f>IF($B50=0,"",VLOOKUP($B50,Materials!$B$2:$H$127,7,FALSE))</f>
        <v/>
      </c>
      <c r="K50" s="150">
        <f t="shared" si="3"/>
        <v>0</v>
      </c>
      <c r="L50" s="143"/>
    </row>
    <row r="51" spans="1:12" hidden="1" x14ac:dyDescent="0.2">
      <c r="B51" s="202"/>
      <c r="C51" s="218" t="str">
        <f>IF(B51=0,"",VLOOKUP($B51,Materials!$B$2:$H$127,2,FALSE))</f>
        <v/>
      </c>
      <c r="D51" s="218"/>
      <c r="E51" s="218"/>
      <c r="F51" s="204"/>
      <c r="G51" s="209"/>
      <c r="H51" s="208"/>
      <c r="I51" s="153" t="str">
        <f>IF($B51=0,"",VLOOKUP($B51,Materials!$B$2:$H$127,5,FALSE))</f>
        <v/>
      </c>
      <c r="J51" s="142" t="str">
        <f>IF($B51=0,"",VLOOKUP($B51,Materials!$B$2:$H$127,7,FALSE))</f>
        <v/>
      </c>
      <c r="K51" s="150">
        <f t="shared" si="3"/>
        <v>0</v>
      </c>
      <c r="L51" s="143"/>
    </row>
    <row r="52" spans="1:12" hidden="1" x14ac:dyDescent="0.2">
      <c r="B52" s="202"/>
      <c r="C52" s="218" t="str">
        <f>IF(B52=0,"",VLOOKUP($B52,Materials!$B$2:$H$127,2,FALSE))</f>
        <v/>
      </c>
      <c r="D52" s="218"/>
      <c r="E52" s="218"/>
      <c r="F52" s="204"/>
      <c r="G52" s="209"/>
      <c r="H52" s="208"/>
      <c r="I52" s="153" t="str">
        <f>IF($B52=0,"",VLOOKUP($B52,Materials!$B$2:$H$127,5,FALSE))</f>
        <v/>
      </c>
      <c r="J52" s="142" t="str">
        <f>IF($B52=0,"",VLOOKUP($B52,Materials!$B$2:$H$127,7,FALSE))</f>
        <v/>
      </c>
      <c r="K52" s="150">
        <f t="shared" si="3"/>
        <v>0</v>
      </c>
      <c r="L52" s="143"/>
    </row>
    <row r="53" spans="1:12" hidden="1" x14ac:dyDescent="0.2">
      <c r="B53" s="202"/>
      <c r="C53" s="218" t="str">
        <f>IF(B53=0,"",VLOOKUP($B53,Materials!$B$2:$H$127,2,FALSE))</f>
        <v/>
      </c>
      <c r="D53" s="218"/>
      <c r="E53" s="218"/>
      <c r="F53" s="204"/>
      <c r="G53" s="209"/>
      <c r="H53" s="208"/>
      <c r="I53" s="153" t="str">
        <f>IF($B53=0,"",VLOOKUP($B53,Materials!$B$2:$H$127,5,FALSE))</f>
        <v/>
      </c>
      <c r="J53" s="142" t="str">
        <f>IF($B53=0,"",VLOOKUP($B53,Materials!$B$2:$H$127,7,FALSE))</f>
        <v/>
      </c>
      <c r="K53" s="150">
        <f t="shared" si="3"/>
        <v>0</v>
      </c>
      <c r="L53" s="145"/>
    </row>
    <row r="54" spans="1:12" hidden="1" x14ac:dyDescent="0.2">
      <c r="B54" s="202"/>
      <c r="C54" s="218" t="str">
        <f>IF(B54=0,"",VLOOKUP($B54,Materials!$B$2:$H$127,2,FALSE))</f>
        <v/>
      </c>
      <c r="D54" s="218"/>
      <c r="E54" s="218"/>
      <c r="F54" s="204"/>
      <c r="G54" s="209"/>
      <c r="H54" s="208"/>
      <c r="I54" s="153" t="str">
        <f>IF($B54=0,"",VLOOKUP($B54,Materials!$B$2:$H$127,5,FALSE))</f>
        <v/>
      </c>
      <c r="J54" s="142" t="str">
        <f>IF($B54=0,"",VLOOKUP($B54,Materials!$B$2:$H$127,7,FALSE))</f>
        <v/>
      </c>
      <c r="K54" s="150">
        <f>IF(B54=0,0,ROUND(G54*H54*J54,2))</f>
        <v>0</v>
      </c>
      <c r="L54" s="145"/>
    </row>
    <row r="55" spans="1:12" hidden="1" x14ac:dyDescent="0.2">
      <c r="B55" s="202"/>
      <c r="C55" s="218" t="str">
        <f>IF(B55=0,"",VLOOKUP($B55,Materials!$B$2:$H$127,2,FALSE))</f>
        <v/>
      </c>
      <c r="D55" s="218"/>
      <c r="E55" s="218"/>
      <c r="F55" s="204"/>
      <c r="G55" s="209"/>
      <c r="H55" s="208"/>
      <c r="I55" s="153"/>
      <c r="J55" s="142"/>
      <c r="K55" s="150"/>
      <c r="L55" s="145"/>
    </row>
    <row r="56" spans="1:12" hidden="1" x14ac:dyDescent="0.2">
      <c r="B56" s="202"/>
      <c r="C56" s="218" t="str">
        <f>IF(B56=0,"",VLOOKUP($B56,Materials!$B$2:$H$127,2,FALSE))</f>
        <v/>
      </c>
      <c r="D56" s="218"/>
      <c r="E56" s="218"/>
      <c r="F56" s="204"/>
      <c r="G56" s="209"/>
      <c r="H56" s="208"/>
      <c r="I56" s="153"/>
      <c r="J56" s="142"/>
      <c r="K56" s="150"/>
      <c r="L56" s="145"/>
    </row>
    <row r="57" spans="1:12" hidden="1" x14ac:dyDescent="0.2">
      <c r="B57" s="202"/>
      <c r="C57" s="218" t="str">
        <f>IF(B57=0,"",VLOOKUP($B57,Materials!$B$2:$H$127,2,FALSE))</f>
        <v/>
      </c>
      <c r="D57" s="218"/>
      <c r="E57" s="218"/>
      <c r="F57" s="204"/>
      <c r="G57" s="209"/>
      <c r="H57" s="208"/>
      <c r="I57" s="153" t="str">
        <f>IF($B57=0,"",VLOOKUP($B57,Materials!$B$2:$H$127,5,FALSE))</f>
        <v/>
      </c>
      <c r="J57" s="142" t="str">
        <f>IF($B57=0,"",VLOOKUP($B57,Materials!$B$2:$H$127,7,FALSE))</f>
        <v/>
      </c>
      <c r="K57" s="150">
        <f>IF(B57=0,0,ROUND(G57*H57*J57,2))</f>
        <v>0</v>
      </c>
      <c r="L57" s="145"/>
    </row>
    <row r="58" spans="1:12" hidden="1" x14ac:dyDescent="0.2">
      <c r="B58" s="202"/>
      <c r="C58" s="218" t="str">
        <f>IF(B58=0,"",VLOOKUP($B58,Materials!$B$2:$H$127,2,FALSE))</f>
        <v/>
      </c>
      <c r="D58" s="218"/>
      <c r="E58" s="218"/>
      <c r="F58" s="204"/>
      <c r="G58" s="209"/>
      <c r="H58" s="208"/>
      <c r="I58" s="153" t="str">
        <f>IF($B58=0,"",VLOOKUP($B58,Materials!$B$2:$H$127,5,FALSE))</f>
        <v/>
      </c>
      <c r="J58" s="142" t="str">
        <f>IF($B58=0,"",VLOOKUP($B58,Materials!$B$2:$H$127,7,FALSE))</f>
        <v/>
      </c>
      <c r="K58" s="150">
        <f>IF(B58=0,0,ROUND(G58*H58*J58,2))</f>
        <v>0</v>
      </c>
      <c r="L58" s="145"/>
    </row>
    <row r="59" spans="1:12" hidden="1" x14ac:dyDescent="0.2">
      <c r="B59" s="202"/>
      <c r="C59" s="218" t="str">
        <f>IF(B59=0,"",VLOOKUP($B59,Materials!$B$2:$H$127,2,FALSE))</f>
        <v/>
      </c>
      <c r="D59" s="218"/>
      <c r="E59" s="218"/>
      <c r="F59" s="204"/>
      <c r="G59" s="209"/>
      <c r="H59" s="208"/>
      <c r="I59" s="153" t="str">
        <f>IF($B59=0,"",VLOOKUP($B59,Materials!$B$2:$H$127,5,FALSE))</f>
        <v/>
      </c>
      <c r="J59" s="142" t="str">
        <f>IF($B59=0,"",VLOOKUP($B59,Materials!$B$2:$H$127,7,FALSE))</f>
        <v/>
      </c>
      <c r="K59" s="150">
        <f>IF(B59=0,0,ROUND(G59*H59*J59,2))</f>
        <v>0</v>
      </c>
      <c r="L59" s="145"/>
    </row>
    <row r="60" spans="1:12" hidden="1" x14ac:dyDescent="0.2">
      <c r="B60" s="202"/>
      <c r="C60" s="218" t="str">
        <f>IF(B60=0,"",VLOOKUP($B60,Materials!$B$2:$H$127,2,FALSE))</f>
        <v/>
      </c>
      <c r="D60" s="218"/>
      <c r="E60" s="218"/>
      <c r="F60" s="204"/>
      <c r="G60" s="209"/>
      <c r="H60" s="208"/>
      <c r="I60" s="153" t="str">
        <f>IF($B60=0,"",VLOOKUP($B60,Materials!$B$2:$H$127,5,FALSE))</f>
        <v/>
      </c>
      <c r="J60" s="142" t="str">
        <f>IF($B60=0,"",VLOOKUP($B60,Materials!$B$2:$H$127,7,FALSE))</f>
        <v/>
      </c>
      <c r="K60" s="150">
        <f>IF(B60=0,0,ROUND(G60*H60*J60,2))</f>
        <v>0</v>
      </c>
      <c r="L60" s="145"/>
    </row>
    <row r="61" spans="1:12" x14ac:dyDescent="0.2">
      <c r="B61" s="202" t="s">
        <v>451</v>
      </c>
      <c r="C61" s="218" t="str">
        <f>IF(B61=0,0,"Crop Insurance")</f>
        <v>Crop Insurance</v>
      </c>
      <c r="D61" s="218"/>
      <c r="E61" s="218"/>
      <c r="F61" s="144"/>
      <c r="G61" s="199"/>
      <c r="H61" s="200"/>
      <c r="I61" s="192"/>
      <c r="J61" s="142">
        <v>6.46</v>
      </c>
      <c r="K61" s="142">
        <f>IF(B61=0,0,J61)</f>
        <v>6.46</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61">
        <f>SUM(K37:K61)</f>
        <v>89.79</v>
      </c>
      <c r="L63" s="143"/>
    </row>
    <row r="64" spans="1:12" ht="25.5" customHeight="1" x14ac:dyDescent="0.2">
      <c r="B64" s="233" t="s">
        <v>598</v>
      </c>
      <c r="C64" s="233"/>
      <c r="K64" s="161"/>
    </row>
    <row r="65" spans="2:12" x14ac:dyDescent="0.2">
      <c r="B65" s="140" t="s">
        <v>562</v>
      </c>
      <c r="K65" s="161">
        <f>K33+K63</f>
        <v>177.88</v>
      </c>
      <c r="L65" s="143"/>
    </row>
    <row r="66" spans="2:12" ht="13.5" thickBot="1" x14ac:dyDescent="0.25">
      <c r="D66" s="162" t="s">
        <v>580</v>
      </c>
      <c r="E66" s="163">
        <f>ROUND(SUM($E$33:$H$33)+$K$63,2)</f>
        <v>140.52000000000001</v>
      </c>
      <c r="F66" s="220" t="s">
        <v>360</v>
      </c>
      <c r="G66" s="220"/>
      <c r="H66" s="164">
        <f>'General Variables'!$B$11</f>
        <v>5.5E-2</v>
      </c>
      <c r="I66" s="165" t="str">
        <f>CONCATENATE("for ",TEXT('General Variables'!$B$12,"0.0")," mo.")</f>
        <v>for 6.0 mo.</v>
      </c>
      <c r="K66" s="166">
        <f>E66*H66*'General Variables'!$B$12/12</f>
        <v>3.8643000000000005</v>
      </c>
      <c r="L66" s="167"/>
    </row>
    <row r="67" spans="2:12" ht="13.5" thickTop="1" x14ac:dyDescent="0.2">
      <c r="B67" s="140" t="s">
        <v>364</v>
      </c>
      <c r="K67" s="161">
        <f>SUM(K65:K66)</f>
        <v>181.74430000000001</v>
      </c>
      <c r="L67" s="143"/>
    </row>
    <row r="68" spans="2:12" x14ac:dyDescent="0.2">
      <c r="K68" s="161"/>
    </row>
    <row r="69" spans="2:12" x14ac:dyDescent="0.2">
      <c r="B69" s="168" t="s">
        <v>596</v>
      </c>
      <c r="C69" s="169"/>
      <c r="D69" s="169"/>
      <c r="E69" s="169"/>
      <c r="F69" s="169"/>
      <c r="G69" s="169"/>
      <c r="H69" s="169"/>
      <c r="I69" s="169"/>
      <c r="J69" s="169"/>
      <c r="K69" s="170">
        <f>'General Variables'!B14</f>
        <v>20</v>
      </c>
      <c r="L69" s="143"/>
    </row>
    <row r="70" spans="2:12" x14ac:dyDescent="0.2">
      <c r="B70" s="129" t="s">
        <v>367</v>
      </c>
      <c r="C70" s="221" t="s">
        <v>427</v>
      </c>
      <c r="D70" s="222"/>
      <c r="E70" s="223"/>
      <c r="F70" s="171">
        <f>IF(C70=0,0,VLOOKUP(C70,RETable,2,FALSE)*2)</f>
        <v>1460</v>
      </c>
      <c r="G70" s="220" t="s">
        <v>368</v>
      </c>
      <c r="H70" s="220"/>
      <c r="I70" s="164">
        <f>'General Variables'!$B$10</f>
        <v>0.04</v>
      </c>
      <c r="K70" s="172">
        <f>ROUND(F70*I70,2)*2</f>
        <v>116.8</v>
      </c>
      <c r="L70" s="143"/>
    </row>
    <row r="71" spans="2:12" ht="13.5" thickBot="1" x14ac:dyDescent="0.25">
      <c r="B71" s="129" t="s">
        <v>376</v>
      </c>
      <c r="F71" s="173">
        <f>IF(C70=0,0,VLOOKUP(C70,RETable,2,FALSE)*2)</f>
        <v>1460</v>
      </c>
      <c r="G71" s="219" t="s">
        <v>368</v>
      </c>
      <c r="H71" s="219"/>
      <c r="I71" s="174">
        <f>'General Variables'!$B$13</f>
        <v>0.01</v>
      </c>
      <c r="J71" s="175"/>
      <c r="K71" s="176">
        <f>ROUND(F71*I71,2)*2</f>
        <v>29.2</v>
      </c>
      <c r="L71" s="167"/>
    </row>
    <row r="72" spans="2:12" ht="13.5" thickTop="1" x14ac:dyDescent="0.2">
      <c r="B72" s="140" t="s">
        <v>383</v>
      </c>
      <c r="K72" s="161">
        <f>SUM(K67:K71)</f>
        <v>347.74430000000001</v>
      </c>
      <c r="L72" s="143"/>
    </row>
    <row r="73" spans="2:12" x14ac:dyDescent="0.2">
      <c r="K73" s="162"/>
    </row>
    <row r="74" spans="2:12" x14ac:dyDescent="0.2">
      <c r="B74" s="140" t="str">
        <f>"Cost per "&amp;$B$4</f>
        <v>Cost per bu</v>
      </c>
      <c r="K74" s="177">
        <f>IF(A4="Yield",0,K72/$A$4)</f>
        <v>7.7276511111111112</v>
      </c>
      <c r="L74" s="143"/>
    </row>
    <row r="75" spans="2:12" x14ac:dyDescent="0.2">
      <c r="B75" s="178" t="str">
        <f>"Cash Cost per "&amp;$B$4</f>
        <v>Cash Cost per bu</v>
      </c>
      <c r="C75" s="175"/>
      <c r="D75" s="175"/>
      <c r="E75" s="175"/>
      <c r="F75" s="175"/>
      <c r="G75" s="175"/>
      <c r="H75" s="175"/>
      <c r="I75" s="175"/>
      <c r="J75" s="175"/>
      <c r="K75" s="179">
        <f>IF($A$4="Yield",0,(E66+K66+K71)/$A$4)</f>
        <v>3.8574288888888892</v>
      </c>
      <c r="L75" s="186"/>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506</v>
      </c>
    </row>
    <row r="112" spans="2:11" x14ac:dyDescent="0.2">
      <c r="B112" s="175"/>
      <c r="C112" s="175"/>
      <c r="D112" s="175"/>
      <c r="H112" s="129" t="str">
        <f>'General Variables'!A20</f>
        <v>Corn Irrigated</v>
      </c>
      <c r="K112" s="129" t="s">
        <v>507</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5">
    <mergeCell ref="B64:C64"/>
    <mergeCell ref="A7:L7"/>
    <mergeCell ref="C70:E70"/>
    <mergeCell ref="G70:H70"/>
    <mergeCell ref="G71:H71"/>
    <mergeCell ref="C47:E47"/>
    <mergeCell ref="C48:E48"/>
    <mergeCell ref="C49:E49"/>
    <mergeCell ref="C50:E50"/>
    <mergeCell ref="C51:E51"/>
    <mergeCell ref="C52:E52"/>
    <mergeCell ref="C53:E53"/>
    <mergeCell ref="C61:E61"/>
    <mergeCell ref="F66:G66"/>
    <mergeCell ref="C54:E54"/>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6:E46"/>
    <mergeCell ref="C43:E43"/>
    <mergeCell ref="C44:E44"/>
    <mergeCell ref="C45:E45"/>
    <mergeCell ref="C59:E59"/>
    <mergeCell ref="C55:E55"/>
    <mergeCell ref="C56:E56"/>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4">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69-Wheat</v>
      </c>
      <c r="B2" s="131"/>
      <c r="C2" s="132" t="s">
        <v>556</v>
      </c>
      <c r="D2" s="132"/>
      <c r="E2" s="131"/>
      <c r="I2" s="133" t="s">
        <v>419</v>
      </c>
      <c r="J2" s="131"/>
      <c r="L2" s="134" t="str">
        <f>'General Variables'!A3&amp;" "&amp;'General Variables'!B3</f>
        <v>Year 2016</v>
      </c>
      <c r="O2" s="135" t="s">
        <v>407</v>
      </c>
    </row>
    <row r="3" spans="1:15" hidden="1" x14ac:dyDescent="0.2">
      <c r="A3" s="130" t="s">
        <v>557</v>
      </c>
      <c r="B3" s="131"/>
      <c r="C3" s="132"/>
      <c r="D3" s="132"/>
      <c r="E3" s="131"/>
      <c r="G3" s="136"/>
      <c r="I3" s="131" t="s">
        <v>540</v>
      </c>
      <c r="O3" s="135" t="s">
        <v>406</v>
      </c>
    </row>
    <row r="4" spans="1:15" hidden="1" x14ac:dyDescent="0.2">
      <c r="A4" s="130">
        <v>60</v>
      </c>
      <c r="B4" s="130" t="s">
        <v>56</v>
      </c>
      <c r="C4" s="132"/>
      <c r="D4" s="132"/>
      <c r="E4" s="131"/>
      <c r="F4" s="131"/>
      <c r="G4" s="131"/>
      <c r="H4" s="131"/>
      <c r="I4" s="131"/>
      <c r="J4" s="134" t="s">
        <v>505</v>
      </c>
      <c r="K4" s="140"/>
      <c r="O4" s="135" t="str">
        <f>B4</f>
        <v>bu</v>
      </c>
    </row>
    <row r="5" spans="1:15" ht="15.75" hidden="1" x14ac:dyDescent="0.25">
      <c r="A5" s="217" t="str">
        <f ca="1" xml:space="preserve"> A2  &amp; IF(C2="","",  ", " &amp;C2 ) &amp; ", " &amp; A3 &amp; ", " &amp; I2</f>
        <v>69-Wheat, No-Till Wheat before Corn, Two Crops in Three Years, 65 bu Yield Goal, Dryland</v>
      </c>
      <c r="B5" s="217"/>
      <c r="C5" s="217"/>
      <c r="D5" s="217"/>
      <c r="E5" s="217"/>
      <c r="F5" s="217"/>
      <c r="G5" s="217"/>
      <c r="H5" s="217"/>
      <c r="I5" s="217"/>
      <c r="J5" s="217"/>
      <c r="K5" s="217"/>
      <c r="L5" s="217"/>
      <c r="O5" s="135"/>
    </row>
    <row r="6" spans="1:15" ht="15.75" hidden="1" x14ac:dyDescent="0.25">
      <c r="A6" s="191"/>
      <c r="B6" s="191"/>
      <c r="C6" s="191"/>
      <c r="D6" s="191"/>
      <c r="E6" s="191"/>
      <c r="F6" s="191"/>
      <c r="G6" s="191"/>
      <c r="H6" s="191"/>
      <c r="I6" s="191"/>
      <c r="J6" s="191"/>
      <c r="K6" s="191"/>
      <c r="L6" s="191"/>
      <c r="O6" s="135"/>
    </row>
    <row r="7" spans="1:15" ht="30" customHeight="1" x14ac:dyDescent="0.25">
      <c r="A7" s="217" t="str">
        <f ca="1">'General Variables'!B3 &amp; " Budget "  &amp; A2 &amp;", "  &amp; IF(C2=0,"", " " &amp; C2 &amp; ", ") &amp;  A3 &amp; IF(A4=""," ", " (") &amp; A4 &amp; " " &amp; B4 &amp; IF(A4="",""," Actual Yield)")</f>
        <v>2016 Budget 69-Wheat,  No-Till Wheat before Corn, Two Crops in Three Years, 65 bu Yield Goal (60 bu Actual Yield)</v>
      </c>
      <c r="B7" s="217"/>
      <c r="C7" s="217"/>
      <c r="D7" s="217"/>
      <c r="E7" s="217"/>
      <c r="F7" s="217"/>
      <c r="G7" s="217"/>
      <c r="H7" s="217"/>
      <c r="I7" s="217"/>
      <c r="J7" s="217"/>
      <c r="K7" s="217"/>
      <c r="L7" s="217"/>
      <c r="O7" s="135"/>
    </row>
    <row r="8" spans="1:15" ht="15.75" x14ac:dyDescent="0.25">
      <c r="A8" s="187" t="str">
        <f>IF(I2="Dryland","Dryland",I2 &amp; IF(J2="","",", "&amp;J2)&amp;IF(H3="","",", "&amp;H3&amp;" "&amp;I3))</f>
        <v>Dryland</v>
      </c>
      <c r="B8" s="130"/>
      <c r="C8" s="132"/>
      <c r="D8" s="132"/>
      <c r="E8" s="131"/>
      <c r="F8" s="131"/>
      <c r="G8" s="131"/>
      <c r="H8" s="131"/>
      <c r="I8" s="131"/>
      <c r="O8" s="135"/>
    </row>
    <row r="10" spans="1:15" s="140" customFormat="1" ht="22.5" customHeight="1" x14ac:dyDescent="0.2">
      <c r="B10" s="226" t="s">
        <v>71</v>
      </c>
      <c r="C10" s="225" t="s">
        <v>1</v>
      </c>
      <c r="D10" s="195"/>
      <c r="E10" s="225" t="str">
        <f>"Labor @ $" &amp;TEXT('General Variables'!B4,"#.00")&amp; " /Hr"</f>
        <v>Labor @ $20.00 /Hr</v>
      </c>
      <c r="F10" s="225" t="str">
        <f>"Fuel @ $" &amp; TEXT('General Variables'!B5,"#.00") &amp; " and Lube"</f>
        <v>Fuel @ $2.25 and Lube</v>
      </c>
      <c r="G10" s="228" t="s">
        <v>72</v>
      </c>
      <c r="H10" s="228"/>
      <c r="I10" s="228" t="s">
        <v>352</v>
      </c>
      <c r="J10" s="228"/>
      <c r="K10" s="228" t="s">
        <v>2</v>
      </c>
      <c r="L10" s="225" t="s">
        <v>359</v>
      </c>
    </row>
    <row r="11" spans="1:15" s="140" customFormat="1" ht="21.75" customHeight="1" thickBot="1" x14ac:dyDescent="0.25">
      <c r="B11" s="227"/>
      <c r="C11" s="224"/>
      <c r="D11" s="194" t="s">
        <v>70</v>
      </c>
      <c r="E11" s="224"/>
      <c r="F11" s="224"/>
      <c r="G11" s="196" t="s">
        <v>73</v>
      </c>
      <c r="H11" s="196" t="s">
        <v>75</v>
      </c>
      <c r="I11" s="196" t="s">
        <v>73</v>
      </c>
      <c r="J11" s="196" t="s">
        <v>75</v>
      </c>
      <c r="K11" s="229"/>
      <c r="L11" s="224"/>
    </row>
    <row r="12" spans="1:15" ht="13.5" thickTop="1" x14ac:dyDescent="0.2">
      <c r="A12" s="193">
        <v>1</v>
      </c>
      <c r="B12" s="201" t="s">
        <v>51</v>
      </c>
      <c r="C12" s="203">
        <v>1</v>
      </c>
      <c r="D12" s="197"/>
      <c r="E12" s="142">
        <f>IF(B12=0,"",IF(C12&gt;9999,"",ROUND('General Variables'!$B$4*VLOOKUP(B12,Operations!$A$2:$U$101,10,FALSE)/VLOOKUP(B12,Operations!$A$2:$U$101,9,FALSE)*C12,2)))</f>
        <v>1</v>
      </c>
      <c r="F12" s="142">
        <f>IF(B12=0,0,IF(C12&gt;9999,"",ROUND(IF(VLOOKUP(B12,Operations!$A$2:$U$101,12,FALSE)=0,VLOOKUP(B12,Operations!$A$2:$U$101,13,FALSE)*'General Variables'!$B$8,VLOOKUP(B12,Operations!$A$2:$U$101,12,FALSE)*'General Variables'!$B$7)/VLOOKUP(B12,Operations!$A$2:$U$101,9,FALSE)*C12,2)))</f>
        <v>0.27</v>
      </c>
      <c r="G12" s="142">
        <f>IF(B12=0,0,IF(C12&gt;9999,"",ROUND(VLOOKUP(VLOOKUP(B12,Operations!$A$2:$U$101,11,FALSE),PowerUnits[],10,FALSE)/VLOOKUP(B12,Operations!$A$2:$U$101,9,FALSE)*C12,2)))</f>
        <v>0.33</v>
      </c>
      <c r="H12" s="142">
        <f>IF(B12=0,"",IF(C12&gt;9999,"",ROUND(VLOOKUP($B12,Operations!$A$2:$U$101,15,FALSE)*C12,2)))</f>
        <v>0.64</v>
      </c>
      <c r="I12" s="142">
        <f>IF(B12=0,0,IF(C12&gt;9999,"",ROUND(VLOOKUP(VLOOKUP(B12,Operations!$A$2:$U$101,11,FALSE),PowerUnits[],16,FALSE)/VLOOKUP(B12,Operations!$A$2:$U$101,9,FALSE)*C12,2)))</f>
        <v>1.1100000000000001</v>
      </c>
      <c r="J12" s="142">
        <f>IF(B12=0,"",IF(C12&gt;9999,"",ROUND(VLOOKUP($B12,Operations!$A$2:$U$101,21,FALSE)*$C12,2)))</f>
        <v>0.88</v>
      </c>
      <c r="K12" s="142">
        <f>IF(C12&gt;9999,"",ROUND(SUM(E12:J12),2))</f>
        <v>4.2300000000000004</v>
      </c>
      <c r="L12" s="143"/>
    </row>
    <row r="13" spans="1:15" x14ac:dyDescent="0.2">
      <c r="A13" s="193">
        <v>2</v>
      </c>
      <c r="B13" s="201" t="s">
        <v>51</v>
      </c>
      <c r="C13" s="203">
        <v>1</v>
      </c>
      <c r="D13" s="197"/>
      <c r="E13" s="142">
        <f>IF(B13=0,"",IF(C13&gt;9999,"",ROUND('General Variables'!$B$4*VLOOKUP(B13,Operations!$A$2:$U$101,10,FALSE)/VLOOKUP(B13,Operations!$A$2:$U$101,9,FALSE)*C13,2)))</f>
        <v>1</v>
      </c>
      <c r="F13" s="142">
        <f>IF(B13=0,0,IF(C13&gt;9999,"",ROUND(IF(VLOOKUP(B13,Operations!$A$2:$U$101,12,FALSE)=0,VLOOKUP(B13,Operations!$A$2:$U$101,13,FALSE)*'General Variables'!$B$8,VLOOKUP(B13,Operations!$A$2:$U$101,12,FALSE)*'General Variables'!$B$7)/VLOOKUP(B13,Operations!$A$2:$U$101,9,FALSE)*C13,2)))</f>
        <v>0.27</v>
      </c>
      <c r="G13" s="142">
        <f>IF(B13=0,0,IF(C13&gt;9999,"",ROUND(VLOOKUP(VLOOKUP(B13,Operations!$A$2:$U$101,11,FALSE),PowerUnits[],10,FALSE)/VLOOKUP(B13,Operations!$A$2:$U$101,9,FALSE)*C13,2)))</f>
        <v>0.33</v>
      </c>
      <c r="H13" s="142">
        <f>IF(B13=0,"",IF(C13&gt;9999,"",ROUND(VLOOKUP($B13,Operations!$A$2:$U$101,15,FALSE)*C13,2)))</f>
        <v>0.64</v>
      </c>
      <c r="I13" s="142">
        <f>IF(B13=0,0,IF(C13&gt;9999,"",ROUND(VLOOKUP(VLOOKUP(B13,Operations!$A$2:$U$101,11,FALSE),PowerUnits[],16,FALSE)/VLOOKUP(B13,Operations!$A$2:$U$101,9,FALSE)*C13,2)))</f>
        <v>1.1100000000000001</v>
      </c>
      <c r="J13" s="142">
        <f>IF(B13=0,"",IF(C13&gt;9999,"",ROUND(VLOOKUP($B13,Operations!$A$2:$U$101,21,FALSE)*$C13,2)))</f>
        <v>0.88</v>
      </c>
      <c r="K13" s="142">
        <f t="shared" ref="K13:K31" si="0">IF(C13&gt;9999,"",ROUND(SUM(E13:J13),2))</f>
        <v>4.2300000000000004</v>
      </c>
      <c r="L13" s="143"/>
    </row>
    <row r="14" spans="1:15" x14ac:dyDescent="0.2">
      <c r="A14" s="193">
        <v>3</v>
      </c>
      <c r="B14" s="201" t="s">
        <v>51</v>
      </c>
      <c r="C14" s="203">
        <v>1</v>
      </c>
      <c r="D14" s="197"/>
      <c r="E14" s="142">
        <f>IF(B14=0,"",IF(C14&gt;9999,"",ROUND('General Variables'!$B$4*VLOOKUP(B14,Operations!$A$2:$U$101,10,FALSE)/VLOOKUP(B14,Operations!$A$2:$U$101,9,FALSE)*C14,2)))</f>
        <v>1</v>
      </c>
      <c r="F14" s="142">
        <f>IF(B14=0,0,IF(C14&gt;9999,"",ROUND(IF(VLOOKUP(B14,Operations!$A$2:$U$101,12,FALSE)=0,VLOOKUP(B14,Operations!$A$2:$U$101,13,FALSE)*'General Variables'!$B$8,VLOOKUP(B14,Operations!$A$2:$U$101,12,FALSE)*'General Variables'!$B$7)/VLOOKUP(B14,Operations!$A$2:$U$101,9,FALSE)*C14,2)))</f>
        <v>0.27</v>
      </c>
      <c r="G14" s="142">
        <f>IF(B14=0,0,IF(C14&gt;9999,"",ROUND(VLOOKUP(VLOOKUP(B14,Operations!$A$2:$U$101,11,FALSE),PowerUnits[],10,FALSE)/VLOOKUP(B14,Operations!$A$2:$U$101,9,FALSE)*C14,2)))</f>
        <v>0.33</v>
      </c>
      <c r="H14" s="142">
        <f>IF(B14=0,"",IF(C14&gt;9999,"",ROUND(VLOOKUP($B14,Operations!$A$2:$U$101,15,FALSE)*C14,2)))</f>
        <v>0.64</v>
      </c>
      <c r="I14" s="142">
        <f>IF(B14=0,0,IF(C14&gt;9999,"",ROUND(VLOOKUP(VLOOKUP(B14,Operations!$A$2:$U$101,11,FALSE),PowerUnits[],16,FALSE)/VLOOKUP(B14,Operations!$A$2:$U$101,9,FALSE)*C14,2)))</f>
        <v>1.1100000000000001</v>
      </c>
      <c r="J14" s="142">
        <f>IF(B14=0,"",IF(C14&gt;9999,"",ROUND(VLOOKUP($B14,Operations!$A$2:$U$101,21,FALSE)*$C14,2)))</f>
        <v>0.88</v>
      </c>
      <c r="K14" s="142">
        <f t="shared" si="0"/>
        <v>4.2300000000000004</v>
      </c>
      <c r="L14" s="143"/>
    </row>
    <row r="15" spans="1:15" x14ac:dyDescent="0.2">
      <c r="A15" s="193">
        <v>4</v>
      </c>
      <c r="B15" s="201" t="s">
        <v>51</v>
      </c>
      <c r="C15" s="203">
        <v>1</v>
      </c>
      <c r="D15" s="197"/>
      <c r="E15" s="142">
        <f>IF(B15=0,"",IF(C15&gt;9999,"",ROUND('General Variables'!$B$4*VLOOKUP(B15,Operations!$A$2:$U$101,10,FALSE)/VLOOKUP(B15,Operations!$A$2:$U$101,9,FALSE)*C15,2)))</f>
        <v>1</v>
      </c>
      <c r="F15" s="142">
        <f>IF(B15=0,0,IF(C15&gt;9999,"",ROUND(IF(VLOOKUP(B15,Operations!$A$2:$U$101,12,FALSE)=0,VLOOKUP(B15,Operations!$A$2:$U$101,13,FALSE)*'General Variables'!$B$8,VLOOKUP(B15,Operations!$A$2:$U$101,12,FALSE)*'General Variables'!$B$7)/VLOOKUP(B15,Operations!$A$2:$U$101,9,FALSE)*C15,2)))</f>
        <v>0.27</v>
      </c>
      <c r="G15" s="142">
        <f>IF(B15=0,0,IF(C15&gt;9999,"",ROUND(VLOOKUP(VLOOKUP(B15,Operations!$A$2:$U$101,11,FALSE),PowerUnits[],10,FALSE)/VLOOKUP(B15,Operations!$A$2:$U$101,9,FALSE)*C15,2)))</f>
        <v>0.33</v>
      </c>
      <c r="H15" s="142">
        <f>IF(B15=0,"",IF(C15&gt;9999,"",ROUND(VLOOKUP($B15,Operations!$A$2:$U$101,15,FALSE)*C15,2)))</f>
        <v>0.64</v>
      </c>
      <c r="I15" s="142">
        <f>IF(B15=0,0,IF(C15&gt;9999,"",ROUND(VLOOKUP(VLOOKUP(B15,Operations!$A$2:$U$101,11,FALSE),PowerUnits[],16,FALSE)/VLOOKUP(B15,Operations!$A$2:$U$101,9,FALSE)*C15,2)))</f>
        <v>1.1100000000000001</v>
      </c>
      <c r="J15" s="142">
        <f>IF(B15=0,"",IF(C15&gt;9999,"",ROUND(VLOOKUP($B15,Operations!$A$2:$U$101,21,FALSE)*$C15,2)))</f>
        <v>0.88</v>
      </c>
      <c r="K15" s="142">
        <f t="shared" si="0"/>
        <v>4.2300000000000004</v>
      </c>
      <c r="L15" s="143"/>
    </row>
    <row r="16" spans="1:15" x14ac:dyDescent="0.2">
      <c r="A16" s="193">
        <v>5</v>
      </c>
      <c r="B16" s="201" t="s">
        <v>283</v>
      </c>
      <c r="C16" s="203">
        <v>1</v>
      </c>
      <c r="D16" s="197"/>
      <c r="E16" s="142">
        <f>IF(B16=0,"",IF(C16&gt;9999,"",ROUND('General Variables'!$B$4*VLOOKUP(B16,Operations!$A$2:$U$101,10,FALSE)/VLOOKUP(B16,Operations!$A$2:$U$101,9,FALSE)*C16,2)))</f>
        <v>1.83</v>
      </c>
      <c r="F16" s="142">
        <f>IF(B16=0,0,IF(C16&gt;9999,"",ROUND(IF(VLOOKUP(B16,Operations!$A$2:$U$101,12,FALSE)=0,VLOOKUP(B16,Operations!$A$2:$U$101,13,FALSE)*'General Variables'!$B$8,VLOOKUP(B16,Operations!$A$2:$U$101,12,FALSE)*'General Variables'!$B$7)/VLOOKUP(B16,Operations!$A$2:$U$101,9,FALSE)*C16,2)))</f>
        <v>1.31</v>
      </c>
      <c r="G16" s="142">
        <f>IF(B16=0,0,IF(C16&gt;9999,"",ROUND(VLOOKUP(VLOOKUP(B16,Operations!$A$2:$U$101,11,FALSE),PowerUnits[],10,FALSE)/VLOOKUP(B16,Operations!$A$2:$U$101,9,FALSE)*C16,2)))</f>
        <v>0.69</v>
      </c>
      <c r="H16" s="142">
        <f>IF(B16=0,"",IF(C16&gt;9999,"",ROUND(VLOOKUP($B16,Operations!$A$2:$U$101,15,FALSE)*C16,2)))</f>
        <v>1.57</v>
      </c>
      <c r="I16" s="142">
        <f>IF(B16=0,0,IF(C16&gt;9999,"",ROUND(VLOOKUP(VLOOKUP(B16,Operations!$A$2:$U$101,11,FALSE),PowerUnits[],16,FALSE)/VLOOKUP(B16,Operations!$A$2:$U$101,9,FALSE)*C16,2)))</f>
        <v>2.2999999999999998</v>
      </c>
      <c r="J16" s="142">
        <f>IF(B16=0,"",IF(C16&gt;9999,"",ROUND(VLOOKUP($B16,Operations!$A$2:$U$101,21,FALSE)*$C16,2)))</f>
        <v>3.54</v>
      </c>
      <c r="K16" s="142">
        <f t="shared" si="0"/>
        <v>11.24</v>
      </c>
      <c r="L16" s="143"/>
    </row>
    <row r="17" spans="1:12" x14ac:dyDescent="0.2">
      <c r="A17" s="193">
        <v>6</v>
      </c>
      <c r="B17" s="201" t="s">
        <v>546</v>
      </c>
      <c r="C17" s="203">
        <v>1</v>
      </c>
      <c r="D17" s="197"/>
      <c r="E17" s="142">
        <f>IF(B17=0,"",IF(C17&gt;9999,"",ROUND('General Variables'!$B$4*VLOOKUP(B17,Operations!$A$2:$U$101,10,FALSE)/VLOOKUP(B17,Operations!$A$2:$U$101,9,FALSE)*C17,2)))</f>
        <v>1.57</v>
      </c>
      <c r="F17" s="142">
        <f>IF(B17=0,0,IF(C17&gt;9999,"",ROUND(IF(VLOOKUP(B17,Operations!$A$2:$U$101,12,FALSE)=0,VLOOKUP(B17,Operations!$A$2:$U$101,13,FALSE)*'General Variables'!$B$8,VLOOKUP(B17,Operations!$A$2:$U$101,12,FALSE)*'General Variables'!$B$7)/VLOOKUP(B17,Operations!$A$2:$U$101,9,FALSE)*C17,2)))</f>
        <v>0.79</v>
      </c>
      <c r="G17" s="142">
        <f>IF(B17=0,0,IF(C17&gt;9999,"",ROUND(VLOOKUP(VLOOKUP(B17,Operations!$A$2:$U$101,11,FALSE),PowerUnits[],10,FALSE)/VLOOKUP(B17,Operations!$A$2:$U$101,9,FALSE)*C17,2)))</f>
        <v>0.66</v>
      </c>
      <c r="H17" s="142">
        <f>IF(B17=0,"",IF(C17&gt;9999,"",ROUND(VLOOKUP($B17,Operations!$A$2:$U$101,15,FALSE)*C17,2)))</f>
        <v>0</v>
      </c>
      <c r="I17" s="142">
        <f>IF(B17=0,0,IF(C17&gt;9999,"",ROUND(VLOOKUP(VLOOKUP(B17,Operations!$A$2:$U$101,11,FALSE),PowerUnits[],16,FALSE)/VLOOKUP(B17,Operations!$A$2:$U$101,9,FALSE)*C17,2)))</f>
        <v>2.1800000000000002</v>
      </c>
      <c r="J17" s="142">
        <f>IF(B17=0,"",IF(C17&gt;9999,"",ROUND(VLOOKUP($B17,Operations!$A$2:$U$101,21,FALSE)*$C17,2)))</f>
        <v>0</v>
      </c>
      <c r="K17" s="142">
        <f t="shared" si="0"/>
        <v>5.2</v>
      </c>
      <c r="L17" s="143"/>
    </row>
    <row r="18" spans="1:12" x14ac:dyDescent="0.2">
      <c r="A18" s="193">
        <v>7</v>
      </c>
      <c r="B18" s="201" t="s">
        <v>51</v>
      </c>
      <c r="C18" s="203">
        <v>1</v>
      </c>
      <c r="D18" s="197"/>
      <c r="E18" s="142">
        <f>IF(B18=0,"",IF(C18&gt;9999,"",ROUND('General Variables'!$B$4*VLOOKUP(B18,Operations!$A$2:$U$101,10,FALSE)/VLOOKUP(B18,Operations!$A$2:$U$101,9,FALSE)*C18,2)))</f>
        <v>1</v>
      </c>
      <c r="F18" s="142">
        <f>IF(B18=0,0,IF(C18&gt;9999,"",ROUND(IF(VLOOKUP(B18,Operations!$A$2:$U$101,12,FALSE)=0,VLOOKUP(B18,Operations!$A$2:$U$101,13,FALSE)*'General Variables'!$B$8,VLOOKUP(B18,Operations!$A$2:$U$101,12,FALSE)*'General Variables'!$B$7)/VLOOKUP(B18,Operations!$A$2:$U$101,9,FALSE)*C18,2)))</f>
        <v>0.27</v>
      </c>
      <c r="G18" s="142">
        <f>IF(B18=0,0,IF(C18&gt;9999,"",ROUND(VLOOKUP(VLOOKUP(B18,Operations!$A$2:$U$101,11,FALSE),PowerUnits[],10,FALSE)/VLOOKUP(B18,Operations!$A$2:$U$101,9,FALSE)*C18,2)))</f>
        <v>0.33</v>
      </c>
      <c r="H18" s="142">
        <f>IF(B18=0,"",IF(C18&gt;9999,"",ROUND(VLOOKUP($B18,Operations!$A$2:$U$101,15,FALSE)*C18,2)))</f>
        <v>0.64</v>
      </c>
      <c r="I18" s="142">
        <f>IF(B18=0,0,IF(C18&gt;9999,"",ROUND(VLOOKUP(VLOOKUP(B18,Operations!$A$2:$U$101,11,FALSE),PowerUnits[],16,FALSE)/VLOOKUP(B18,Operations!$A$2:$U$101,9,FALSE)*C18,2)))</f>
        <v>1.1100000000000001</v>
      </c>
      <c r="J18" s="142">
        <f>IF(B18=0,"",IF(C18&gt;9999,"",ROUND(VLOOKUP($B18,Operations!$A$2:$U$101,21,FALSE)*$C18,2)))</f>
        <v>0.88</v>
      </c>
      <c r="K18" s="142">
        <f t="shared" si="0"/>
        <v>4.2300000000000004</v>
      </c>
      <c r="L18" s="143"/>
    </row>
    <row r="19" spans="1:12" x14ac:dyDescent="0.2">
      <c r="A19" s="193">
        <v>8</v>
      </c>
      <c r="B19" s="201" t="s">
        <v>17</v>
      </c>
      <c r="C19" s="203" t="s">
        <v>3</v>
      </c>
      <c r="D19" s="197"/>
      <c r="E19" s="142" t="str">
        <f>IF(B19=0,"",IF(C19&gt;9999,"",ROUND('General Variables'!$B$4*VLOOKUP(B19,Operations!$A$2:$U$101,10,FALSE)/VLOOKUP(B19,Operations!$A$2:$U$101,9,FALSE)*C19,2)))</f>
        <v/>
      </c>
      <c r="F19" s="142" t="str">
        <f>IF(B19=0,0,IF(C19&gt;9999,"",ROUND(IF(VLOOKUP(B19,Operations!$A$2:$U$101,12,FALSE)=0,VLOOKUP(B19,Operations!$A$2:$U$101,13,FALSE)*'General Variables'!$B$8,VLOOKUP(B19,Operations!$A$2:$U$101,12,FALSE)*'General Variables'!$B$7)/VLOOKUP(B19,Operations!$A$2:$U$101,9,FALSE)*C19,2)))</f>
        <v/>
      </c>
      <c r="G19" s="142" t="str">
        <f>IF(B19=0,0,IF(C19&gt;9999,"",ROUND(VLOOKUP(VLOOKUP(B19,Operations!$A$2:$U$101,11,FALSE),PowerUnits[],10,FALSE)/VLOOKUP(B19,Operations!$A$2:$U$101,9,FALSE)*C19,2)))</f>
        <v/>
      </c>
      <c r="H19" s="142" t="str">
        <f>IF(B19=0,"",IF(C19&gt;9999,"",ROUND(VLOOKUP($B19,Operations!$A$2:$U$101,15,FALSE)*C19,2)))</f>
        <v/>
      </c>
      <c r="I19" s="142" t="str">
        <f>IF(B19=0,0,IF(C19&gt;9999,"",ROUND(VLOOKUP(VLOOKUP(B19,Operations!$A$2:$U$101,11,FALSE),PowerUnits[],16,FALSE)/VLOOKUP(B19,Operations!$A$2:$U$101,9,FALSE)*C19,2)))</f>
        <v/>
      </c>
      <c r="J19" s="142" t="str">
        <f>IF(B19=0,"",IF(C19&gt;9999,"",ROUND(VLOOKUP($B19,Operations!$A$2:$U$101,21,FALSE)*$C19,2)))</f>
        <v/>
      </c>
      <c r="K19" s="142" t="str">
        <f t="shared" si="0"/>
        <v/>
      </c>
      <c r="L19" s="143"/>
    </row>
    <row r="20" spans="1:12" x14ac:dyDescent="0.2">
      <c r="A20" s="193">
        <v>9</v>
      </c>
      <c r="B20" s="201" t="s">
        <v>17</v>
      </c>
      <c r="C20" s="203" t="s">
        <v>3</v>
      </c>
      <c r="D20" s="144"/>
      <c r="E20" s="142" t="str">
        <f>IF(B20=0,"",IF(C20&gt;9999,"",ROUND('General Variables'!$B$4*VLOOKUP(B20,Operations!$A$2:$U$101,10,FALSE)/VLOOKUP(B20,Operations!$A$2:$U$101,9,FALSE)*C20,2)))</f>
        <v/>
      </c>
      <c r="F20" s="142" t="str">
        <f>IF(B20=0,0,IF(C20&gt;9999,"",ROUND(IF(VLOOKUP(B20,Operations!$A$2:$U$101,12,FALSE)=0,VLOOKUP(B20,Operations!$A$2:$U$101,13,FALSE)*'General Variables'!$B$8,VLOOKUP(B20,Operations!$A$2:$U$101,12,FALSE)*'General Variables'!$B$7)/VLOOKUP(B20,Operations!$A$2:$U$101,9,FALSE)*C20,2)))</f>
        <v/>
      </c>
      <c r="G20" s="142" t="str">
        <f>IF(B20=0,0,IF(C20&gt;9999,"",ROUND(VLOOKUP(VLOOKUP(B20,Operations!$A$2:$U$101,11,FALSE),PowerUnits[],10,FALSE)/VLOOKUP(B20,Operations!$A$2:$U$101,9,FALSE)*C20,2)))</f>
        <v/>
      </c>
      <c r="H20" s="142" t="str">
        <f>IF(B20=0,"",IF(C20&gt;9999,"",ROUND(VLOOKUP($B20,Operations!$A$2:$U$101,15,FALSE)*C20,2)))</f>
        <v/>
      </c>
      <c r="I20" s="142" t="str">
        <f>IF(B20=0,0,IF(C20&gt;9999,"",ROUND(VLOOKUP(VLOOKUP(B20,Operations!$A$2:$U$101,11,FALSE),PowerUnits[],16,FALSE)/VLOOKUP(B20,Operations!$A$2:$U$101,9,FALSE)*C20,2)))</f>
        <v/>
      </c>
      <c r="J20" s="142" t="str">
        <f>IF(B20=0,"",IF(C20&gt;9999,"",ROUND(VLOOKUP($B20,Operations!$A$2:$U$101,21,FALSE)*$C20,2)))</f>
        <v/>
      </c>
      <c r="K20" s="142" t="str">
        <f t="shared" si="0"/>
        <v/>
      </c>
      <c r="L20" s="143"/>
    </row>
    <row r="21" spans="1:12" x14ac:dyDescent="0.2">
      <c r="A21" s="193">
        <v>10</v>
      </c>
      <c r="B21" s="201" t="s">
        <v>491</v>
      </c>
      <c r="C21" s="203">
        <v>1</v>
      </c>
      <c r="D21" s="144"/>
      <c r="E21" s="142">
        <f>IF(B21=0,"",IF(C21&gt;9999,"",ROUND('General Variables'!$B$4*VLOOKUP(B21,Operations!$A$2:$U$101,10,FALSE)/VLOOKUP(B21,Operations!$A$2:$U$101,9,FALSE)*C21,2)))</f>
        <v>3.14</v>
      </c>
      <c r="F21" s="142">
        <f>IF(B21=0,0,IF(C21&gt;9999,"",ROUND(IF(VLOOKUP(B21,Operations!$A$2:$U$101,12,FALSE)=0,VLOOKUP(B21,Operations!$A$2:$U$101,13,FALSE)*'General Variables'!$B$8,VLOOKUP(B21,Operations!$A$2:$U$101,12,FALSE)*'General Variables'!$B$7)/VLOOKUP(B21,Operations!$A$2:$U$101,9,FALSE)*C21,2)))</f>
        <v>3.87</v>
      </c>
      <c r="G21" s="142">
        <f>IF(B21=0,0,IF(C21&gt;9999,"",ROUND(VLOOKUP(VLOOKUP(B21,Operations!$A$2:$U$101,11,FALSE),PowerUnits[],10,FALSE)/VLOOKUP(B21,Operations!$A$2:$U$101,9,FALSE)*C21,2)))</f>
        <v>7.31</v>
      </c>
      <c r="H21" s="142">
        <f>IF(B21=0,"",IF(C21&gt;9999,"",ROUND(VLOOKUP($B21,Operations!$A$2:$U$101,15,FALSE)*C21,2)))</f>
        <v>0.93</v>
      </c>
      <c r="I21" s="142">
        <f>IF(B21=0,0,IF(C21&gt;9999,"",ROUND(VLOOKUP(VLOOKUP(B21,Operations!$A$2:$U$101,11,FALSE),PowerUnits[],16,FALSE)/VLOOKUP(B21,Operations!$A$2:$U$101,9,FALSE)*C21,2)))</f>
        <v>5.99</v>
      </c>
      <c r="J21" s="142">
        <f>IF(B21=0,"",IF(C21&gt;9999,"",ROUND(VLOOKUP($B21,Operations!$A$2:$U$101,21,FALSE)*$C21,2)))</f>
        <v>2.81</v>
      </c>
      <c r="K21" s="142">
        <f t="shared" si="0"/>
        <v>24.05</v>
      </c>
      <c r="L21" s="143"/>
    </row>
    <row r="22" spans="1:12" x14ac:dyDescent="0.2">
      <c r="A22" s="193">
        <v>11</v>
      </c>
      <c r="B22" s="201" t="s">
        <v>296</v>
      </c>
      <c r="C22" s="203" t="s">
        <v>3</v>
      </c>
      <c r="D22" s="144"/>
      <c r="E22" s="142" t="str">
        <f>IF(B22=0,"",IF(C22&gt;9999,"",ROUND('General Variables'!$B$4*VLOOKUP(B22,Operations!$A$2:$U$101,10,FALSE)/VLOOKUP(B22,Operations!$A$2:$U$101,9,FALSE)*C22,2)))</f>
        <v/>
      </c>
      <c r="F22" s="142" t="str">
        <f>IF(B22=0,0,IF(C22&gt;9999,"",ROUND(IF(VLOOKUP(B22,Operations!$A$2:$U$101,12,FALSE)=0,VLOOKUP(B22,Operations!$A$2:$U$101,13,FALSE)*'General Variables'!$B$8,VLOOKUP(B22,Operations!$A$2:$U$101,12,FALSE)*'General Variables'!$B$7)/VLOOKUP(B22,Operations!$A$2:$U$101,9,FALSE)*C22,2)))</f>
        <v/>
      </c>
      <c r="G22" s="142" t="str">
        <f>IF(B22=0,0,IF(C22&gt;9999,"",ROUND(VLOOKUP(VLOOKUP(B22,Operations!$A$2:$U$101,11,FALSE),PowerUnits[],10,FALSE)/VLOOKUP(B22,Operations!$A$2:$U$101,9,FALSE)*C22,2)))</f>
        <v/>
      </c>
      <c r="H22" s="142" t="str">
        <f>IF(B22=0,"",IF(C22&gt;9999,"",ROUND(VLOOKUP($B22,Operations!$A$2:$U$101,15,FALSE)*C22,2)))</f>
        <v/>
      </c>
      <c r="I22" s="142" t="str">
        <f>IF(B22=0,0,IF(C22&gt;9999,"",ROUND(VLOOKUP(VLOOKUP(B22,Operations!$A$2:$U$101,11,FALSE),PowerUnits[],16,FALSE)/VLOOKUP(B22,Operations!$A$2:$U$101,9,FALSE)*C22,2)))</f>
        <v/>
      </c>
      <c r="J22" s="142" t="str">
        <f>IF(B22=0,"",IF(C22&gt;9999,"",ROUND(VLOOKUP($B22,Operations!$A$2:$U$101,21,FALSE)*$C22,2)))</f>
        <v/>
      </c>
      <c r="K22" s="142" t="str">
        <f t="shared" si="0"/>
        <v/>
      </c>
      <c r="L22" s="143"/>
    </row>
    <row r="23" spans="1:12" hidden="1" x14ac:dyDescent="0.2">
      <c r="A23" s="193">
        <v>12</v>
      </c>
      <c r="B23" s="201"/>
      <c r="C23" s="203"/>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3">
        <v>13</v>
      </c>
      <c r="B24" s="201"/>
      <c r="C24" s="203"/>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3">
        <v>14</v>
      </c>
      <c r="B25" s="202"/>
      <c r="C25" s="204"/>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3">
        <v>15</v>
      </c>
      <c r="B26" s="202"/>
      <c r="C26" s="204"/>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3">
        <v>16</v>
      </c>
      <c r="B27" s="202"/>
      <c r="C27" s="204"/>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3">
        <v>17</v>
      </c>
      <c r="B28" s="202"/>
      <c r="C28" s="204"/>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3">
        <v>18</v>
      </c>
      <c r="B29" s="202"/>
      <c r="C29" s="204"/>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3">
        <v>19</v>
      </c>
      <c r="B30" s="202"/>
      <c r="C30" s="204"/>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3">
        <v>20</v>
      </c>
      <c r="B31" s="202"/>
      <c r="C31" s="204"/>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3"/>
      <c r="B32" s="146"/>
      <c r="C32" s="147"/>
      <c r="D32" s="147"/>
      <c r="E32" s="148"/>
      <c r="F32" s="148"/>
      <c r="G32" s="148"/>
      <c r="H32" s="148"/>
      <c r="I32" s="148"/>
      <c r="J32" s="148"/>
      <c r="K32" s="148"/>
      <c r="L32" s="149"/>
    </row>
    <row r="33" spans="1:12" ht="13.5" thickTop="1" x14ac:dyDescent="0.2">
      <c r="C33" s="139" t="s">
        <v>74</v>
      </c>
      <c r="D33" s="139"/>
      <c r="E33" s="150">
        <f>SUM(E12:E31)</f>
        <v>11.540000000000001</v>
      </c>
      <c r="F33" s="150">
        <f t="shared" ref="F33:K33" si="1">SUM(F12:F31)</f>
        <v>7.32</v>
      </c>
      <c r="G33" s="150">
        <f t="shared" si="1"/>
        <v>10.309999999999999</v>
      </c>
      <c r="H33" s="150">
        <f t="shared" si="1"/>
        <v>5.6999999999999993</v>
      </c>
      <c r="I33" s="150">
        <f t="shared" si="1"/>
        <v>16.02</v>
      </c>
      <c r="J33" s="150">
        <f t="shared" si="1"/>
        <v>10.75</v>
      </c>
      <c r="K33" s="150">
        <f t="shared" si="1"/>
        <v>61.64</v>
      </c>
      <c r="L33" s="143"/>
    </row>
    <row r="35" spans="1:12" ht="24" customHeight="1" thickBot="1" x14ac:dyDescent="0.25">
      <c r="B35" s="136"/>
      <c r="C35" s="136"/>
      <c r="D35" s="136"/>
      <c r="E35" s="136"/>
      <c r="F35" s="224" t="s">
        <v>85</v>
      </c>
      <c r="G35" s="224" t="s">
        <v>82</v>
      </c>
      <c r="H35" s="225" t="s">
        <v>86</v>
      </c>
      <c r="I35" s="225"/>
      <c r="J35" s="224" t="s">
        <v>62</v>
      </c>
      <c r="L35" s="225" t="s">
        <v>359</v>
      </c>
    </row>
    <row r="36" spans="1:12" s="151" customFormat="1" ht="18.75" customHeight="1" thickTop="1" thickBot="1" x14ac:dyDescent="0.25">
      <c r="B36" s="152" t="s">
        <v>81</v>
      </c>
      <c r="C36" s="194"/>
      <c r="D36" s="194"/>
      <c r="E36" s="194"/>
      <c r="F36" s="224"/>
      <c r="G36" s="224"/>
      <c r="H36" s="189" t="s">
        <v>87</v>
      </c>
      <c r="I36" s="190" t="s">
        <v>70</v>
      </c>
      <c r="J36" s="224"/>
      <c r="K36" s="194" t="s">
        <v>83</v>
      </c>
      <c r="L36" s="224"/>
    </row>
    <row r="37" spans="1:12" ht="13.5" thickTop="1" x14ac:dyDescent="0.2">
      <c r="A37" s="175"/>
      <c r="B37" s="201" t="s">
        <v>29</v>
      </c>
      <c r="C37" s="218" t="str">
        <f>IF(B37=0,"",VLOOKUP($B37,Materials!$B$2:$H$127,2,FALSE))</f>
        <v>Herbicide</v>
      </c>
      <c r="D37" s="218"/>
      <c r="E37" s="218"/>
      <c r="F37" s="203">
        <v>1</v>
      </c>
      <c r="G37" s="205">
        <v>1</v>
      </c>
      <c r="H37" s="206">
        <v>32</v>
      </c>
      <c r="I37" s="153" t="str">
        <f>IF($B37=0,"",VLOOKUP($B37,Materials!$B$2:$H$127,5,FALSE))</f>
        <v>ounce</v>
      </c>
      <c r="J37" s="142">
        <f>IF($B37=0,"",VLOOKUP($B37,Materials!$B$2:$H$127,7,FALSE))</f>
        <v>0.125</v>
      </c>
      <c r="K37" s="150">
        <f>IF(B37=0,0,ROUND(G37*H37*J37,2))</f>
        <v>4</v>
      </c>
      <c r="L37" s="143"/>
    </row>
    <row r="38" spans="1:12" x14ac:dyDescent="0.2">
      <c r="A38" s="175"/>
      <c r="B38" s="201" t="s">
        <v>439</v>
      </c>
      <c r="C38" s="218" t="str">
        <f>IF(B38=0,"",VLOOKUP($B38,Materials!$B$2:$H$127,2,FALSE))</f>
        <v>Additive</v>
      </c>
      <c r="D38" s="218"/>
      <c r="E38" s="218"/>
      <c r="F38" s="203">
        <v>1</v>
      </c>
      <c r="G38" s="205">
        <v>1</v>
      </c>
      <c r="H38" s="206">
        <v>1.7</v>
      </c>
      <c r="I38" s="153" t="str">
        <f>IF($B38=0,"",VLOOKUP($B38,Materials!$B$2:$H$127,5,FALSE))</f>
        <v>pound</v>
      </c>
      <c r="J38" s="142">
        <f>IF($B38=0,"",VLOOKUP($B38,Materials!$B$2:$H$127,7,FALSE))</f>
        <v>0.35</v>
      </c>
      <c r="K38" s="150">
        <f t="shared" ref="K38:K58" si="2">IF(B38=0,0,ROUND(G38*H38*J38,2))</f>
        <v>0.6</v>
      </c>
      <c r="L38" s="143"/>
    </row>
    <row r="39" spans="1:12" x14ac:dyDescent="0.2">
      <c r="A39" s="175"/>
      <c r="B39" s="201" t="s">
        <v>12</v>
      </c>
      <c r="C39" s="218" t="str">
        <f>IF(B39=0,"",VLOOKUP($B39,Materials!$B$2:$H$127,2,FALSE))</f>
        <v>Herbicide</v>
      </c>
      <c r="D39" s="218"/>
      <c r="E39" s="218"/>
      <c r="F39" s="203">
        <v>1</v>
      </c>
      <c r="G39" s="205">
        <v>1</v>
      </c>
      <c r="H39" s="206">
        <v>1</v>
      </c>
      <c r="I39" s="153" t="str">
        <f>IF($B39=0,"",VLOOKUP($B39,Materials!$B$2:$H$127,5,FALSE))</f>
        <v>pint</v>
      </c>
      <c r="J39" s="142">
        <f>IF($B39=0,"",VLOOKUP($B39,Materials!$B$2:$H$127,7,FALSE))</f>
        <v>2.5625</v>
      </c>
      <c r="K39" s="150">
        <f>IF(B39=0,0,ROUND(G39*H39*J39,2))</f>
        <v>2.56</v>
      </c>
      <c r="L39" s="143"/>
    </row>
    <row r="40" spans="1:12" x14ac:dyDescent="0.2">
      <c r="A40" s="175"/>
      <c r="B40" s="201" t="s">
        <v>29</v>
      </c>
      <c r="C40" s="218" t="str">
        <f>IF(B40=0,"",VLOOKUP($B40,Materials!$B$2:$H$127,2,FALSE))</f>
        <v>Herbicide</v>
      </c>
      <c r="D40" s="218"/>
      <c r="E40" s="218"/>
      <c r="F40" s="203">
        <v>2</v>
      </c>
      <c r="G40" s="205">
        <v>1</v>
      </c>
      <c r="H40" s="206">
        <v>32</v>
      </c>
      <c r="I40" s="153" t="str">
        <f>IF($B40=0,"",VLOOKUP($B40,Materials!$B$2:$H$127,5,FALSE))</f>
        <v>ounce</v>
      </c>
      <c r="J40" s="142">
        <f>IF($B40=0,"",VLOOKUP($B40,Materials!$B$2:$H$127,7,FALSE))</f>
        <v>0.125</v>
      </c>
      <c r="K40" s="150">
        <f t="shared" si="2"/>
        <v>4</v>
      </c>
      <c r="L40" s="143"/>
    </row>
    <row r="41" spans="1:12" x14ac:dyDescent="0.2">
      <c r="A41" s="175"/>
      <c r="B41" s="201" t="s">
        <v>439</v>
      </c>
      <c r="C41" s="218" t="str">
        <f>IF(B41=0,"",VLOOKUP($B41,Materials!$B$2:$H$127,2,FALSE))</f>
        <v>Additive</v>
      </c>
      <c r="D41" s="218"/>
      <c r="E41" s="218"/>
      <c r="F41" s="203">
        <v>2</v>
      </c>
      <c r="G41" s="205">
        <v>1</v>
      </c>
      <c r="H41" s="206">
        <v>1.7</v>
      </c>
      <c r="I41" s="153" t="str">
        <f>IF($B41=0,"",VLOOKUP($B41,Materials!$B$2:$H$127,5,FALSE))</f>
        <v>pound</v>
      </c>
      <c r="J41" s="142">
        <f>IF($B41=0,"",VLOOKUP($B41,Materials!$B$2:$H$127,7,FALSE))</f>
        <v>0.35</v>
      </c>
      <c r="K41" s="150">
        <f t="shared" si="2"/>
        <v>0.6</v>
      </c>
      <c r="L41" s="143"/>
    </row>
    <row r="42" spans="1:12" x14ac:dyDescent="0.2">
      <c r="A42" s="175"/>
      <c r="B42" s="201" t="s">
        <v>12</v>
      </c>
      <c r="C42" s="218" t="str">
        <f>IF(B42=0,"",VLOOKUP($B42,Materials!$B$2:$H$127,2,FALSE))</f>
        <v>Herbicide</v>
      </c>
      <c r="D42" s="218"/>
      <c r="E42" s="218"/>
      <c r="F42" s="203">
        <v>2</v>
      </c>
      <c r="G42" s="205">
        <v>1</v>
      </c>
      <c r="H42" s="206">
        <v>1</v>
      </c>
      <c r="I42" s="153" t="str">
        <f>IF($B42=0,"",VLOOKUP($B42,Materials!$B$2:$H$127,5,FALSE))</f>
        <v>pint</v>
      </c>
      <c r="J42" s="142">
        <f>IF($B42=0,"",VLOOKUP($B42,Materials!$B$2:$H$127,7,FALSE))</f>
        <v>2.5625</v>
      </c>
      <c r="K42" s="150">
        <f>IF(B42=0,0,ROUND(G42*H42*J42,2))</f>
        <v>2.56</v>
      </c>
      <c r="L42" s="143"/>
    </row>
    <row r="43" spans="1:12" x14ac:dyDescent="0.2">
      <c r="A43" s="175"/>
      <c r="B43" s="201" t="s">
        <v>29</v>
      </c>
      <c r="C43" s="218" t="str">
        <f>IF(B43=0,"",VLOOKUP($B43,Materials!$B$2:$H$127,2,FALSE))</f>
        <v>Herbicide</v>
      </c>
      <c r="D43" s="218"/>
      <c r="E43" s="218"/>
      <c r="F43" s="203">
        <v>3</v>
      </c>
      <c r="G43" s="205">
        <v>1</v>
      </c>
      <c r="H43" s="206">
        <v>32</v>
      </c>
      <c r="I43" s="153" t="str">
        <f>IF($B43=0,"",VLOOKUP($B43,Materials!$B$2:$H$127,5,FALSE))</f>
        <v>ounce</v>
      </c>
      <c r="J43" s="142">
        <f>IF($B43=0,"",VLOOKUP($B43,Materials!$B$2:$H$127,7,FALSE))</f>
        <v>0.125</v>
      </c>
      <c r="K43" s="150">
        <f t="shared" si="2"/>
        <v>4</v>
      </c>
      <c r="L43" s="143"/>
    </row>
    <row r="44" spans="1:12" x14ac:dyDescent="0.2">
      <c r="A44" s="175"/>
      <c r="B44" s="201" t="s">
        <v>439</v>
      </c>
      <c r="C44" s="218" t="str">
        <f>IF(B44=0,"",VLOOKUP($B44,Materials!$B$2:$H$127,2,FALSE))</f>
        <v>Additive</v>
      </c>
      <c r="D44" s="218"/>
      <c r="E44" s="218"/>
      <c r="F44" s="203">
        <v>3</v>
      </c>
      <c r="G44" s="205">
        <v>1</v>
      </c>
      <c r="H44" s="206">
        <v>1.7</v>
      </c>
      <c r="I44" s="153" t="str">
        <f>IF($B44=0,"",VLOOKUP($B44,Materials!$B$2:$H$127,5,FALSE))</f>
        <v>pound</v>
      </c>
      <c r="J44" s="142">
        <f>IF($B44=0,"",VLOOKUP($B44,Materials!$B$2:$H$127,7,FALSE))</f>
        <v>0.35</v>
      </c>
      <c r="K44" s="150">
        <f t="shared" si="2"/>
        <v>0.6</v>
      </c>
      <c r="L44" s="143"/>
    </row>
    <row r="45" spans="1:12" x14ac:dyDescent="0.2">
      <c r="A45" s="175"/>
      <c r="B45" s="201" t="s">
        <v>12</v>
      </c>
      <c r="C45" s="218" t="str">
        <f>IF(B45=0,"",VLOOKUP($B45,Materials!$B$2:$H$127,2,FALSE))</f>
        <v>Herbicide</v>
      </c>
      <c r="D45" s="218"/>
      <c r="E45" s="218"/>
      <c r="F45" s="203">
        <v>3</v>
      </c>
      <c r="G45" s="205">
        <v>1</v>
      </c>
      <c r="H45" s="206">
        <v>1</v>
      </c>
      <c r="I45" s="153" t="str">
        <f>IF($B45=0,"",VLOOKUP($B45,Materials!$B$2:$H$127,5,FALSE))</f>
        <v>pint</v>
      </c>
      <c r="J45" s="142">
        <f>IF($B45=0,"",VLOOKUP($B45,Materials!$B$2:$H$127,7,FALSE))</f>
        <v>2.5625</v>
      </c>
      <c r="K45" s="150">
        <f>IF(B45=0,0,ROUND(G45*H45*J45,2))</f>
        <v>2.56</v>
      </c>
      <c r="L45" s="143"/>
    </row>
    <row r="46" spans="1:12" x14ac:dyDescent="0.2">
      <c r="A46" s="175"/>
      <c r="B46" s="201" t="s">
        <v>29</v>
      </c>
      <c r="C46" s="218" t="str">
        <f>IF(B46=0,"",VLOOKUP($B46,Materials!$B$2:$H$127,2,FALSE))</f>
        <v>Herbicide</v>
      </c>
      <c r="D46" s="218"/>
      <c r="E46" s="218"/>
      <c r="F46" s="203">
        <v>4</v>
      </c>
      <c r="G46" s="205">
        <v>1</v>
      </c>
      <c r="H46" s="206">
        <v>32</v>
      </c>
      <c r="I46" s="153" t="str">
        <f>IF($B46=0,"",VLOOKUP($B46,Materials!$B$2:$H$127,5,FALSE))</f>
        <v>ounce</v>
      </c>
      <c r="J46" s="142">
        <f>IF($B46=0,"",VLOOKUP($B46,Materials!$B$2:$H$127,7,FALSE))</f>
        <v>0.125</v>
      </c>
      <c r="K46" s="150">
        <f t="shared" si="2"/>
        <v>4</v>
      </c>
      <c r="L46" s="143"/>
    </row>
    <row r="47" spans="1:12" x14ac:dyDescent="0.2">
      <c r="A47" s="175"/>
      <c r="B47" s="201" t="s">
        <v>439</v>
      </c>
      <c r="C47" s="218" t="str">
        <f>IF(B47=0,"",VLOOKUP($B47,Materials!$B$2:$H$127,2,FALSE))</f>
        <v>Additive</v>
      </c>
      <c r="D47" s="218"/>
      <c r="E47" s="218"/>
      <c r="F47" s="203">
        <v>4</v>
      </c>
      <c r="G47" s="205">
        <v>1</v>
      </c>
      <c r="H47" s="206">
        <v>1.7</v>
      </c>
      <c r="I47" s="153" t="str">
        <f>IF($B47=0,"",VLOOKUP($B47,Materials!$B$2:$H$127,5,FALSE))</f>
        <v>pound</v>
      </c>
      <c r="J47" s="142">
        <f>IF($B47=0,"",VLOOKUP($B47,Materials!$B$2:$H$127,7,FALSE))</f>
        <v>0.35</v>
      </c>
      <c r="K47" s="150">
        <f t="shared" si="2"/>
        <v>0.6</v>
      </c>
      <c r="L47" s="143"/>
    </row>
    <row r="48" spans="1:12" x14ac:dyDescent="0.2">
      <c r="A48" s="175"/>
      <c r="B48" s="201" t="s">
        <v>6</v>
      </c>
      <c r="C48" s="218" t="str">
        <f>IF(B48=0,"",VLOOKUP($B48,Materials!$B$2:$H$127,2,FALSE))</f>
        <v>Fertilizer</v>
      </c>
      <c r="D48" s="218"/>
      <c r="E48" s="218"/>
      <c r="F48" s="203">
        <v>5</v>
      </c>
      <c r="G48" s="205">
        <v>1</v>
      </c>
      <c r="H48" s="206">
        <v>8</v>
      </c>
      <c r="I48" s="153" t="str">
        <f>IF($B48=0,"",VLOOKUP($B48,Materials!$B$2:$H$127,5,FALSE))</f>
        <v>gallon</v>
      </c>
      <c r="J48" s="142">
        <f>IF($B48=0,"",VLOOKUP($B48,Materials!$B$2:$H$127,7,FALSE))</f>
        <v>2.8</v>
      </c>
      <c r="K48" s="150">
        <f t="shared" si="2"/>
        <v>22.4</v>
      </c>
      <c r="L48" s="143"/>
    </row>
    <row r="49" spans="1:12" x14ac:dyDescent="0.2">
      <c r="A49" s="175"/>
      <c r="B49" s="201" t="s">
        <v>574</v>
      </c>
      <c r="C49" s="218" t="str">
        <f>IF(B49=0,"",VLOOKUP($B49,Materials!$B$2:$H$127,2,FALSE))</f>
        <v>Seed</v>
      </c>
      <c r="D49" s="218"/>
      <c r="E49" s="218"/>
      <c r="F49" s="203">
        <v>5</v>
      </c>
      <c r="G49" s="205">
        <v>1</v>
      </c>
      <c r="H49" s="206">
        <v>60</v>
      </c>
      <c r="I49" s="153" t="str">
        <f>IF($B49=0,"",VLOOKUP($B49,Materials!$B$2:$H$127,5,FALSE))</f>
        <v>pound</v>
      </c>
      <c r="J49" s="142">
        <f>IF($B49=0,"",VLOOKUP($B49,Materials!$B$2:$H$127,7,FALSE))</f>
        <v>0.31</v>
      </c>
      <c r="K49" s="150">
        <f t="shared" si="2"/>
        <v>18.600000000000001</v>
      </c>
      <c r="L49" s="143"/>
    </row>
    <row r="50" spans="1:12" x14ac:dyDescent="0.2">
      <c r="A50" s="175"/>
      <c r="B50" s="201" t="s">
        <v>14</v>
      </c>
      <c r="C50" s="218" t="str">
        <f>IF(B50=0,"",VLOOKUP($B50,Materials!$B$2:$H$127,2,FALSE))</f>
        <v>Fertilizer</v>
      </c>
      <c r="D50" s="218"/>
      <c r="E50" s="218"/>
      <c r="F50" s="203">
        <v>6</v>
      </c>
      <c r="G50" s="205">
        <v>1</v>
      </c>
      <c r="H50" s="206">
        <v>80</v>
      </c>
      <c r="I50" s="153" t="str">
        <f>IF($B50=0,"",VLOOKUP($B50,Materials!$B$2:$H$127,5,FALSE))</f>
        <v>lbs N</v>
      </c>
      <c r="J50" s="142">
        <f>IF($B50=0,"",VLOOKUP($B50,Materials!$B$2:$H$127,7,FALSE))</f>
        <v>0.48</v>
      </c>
      <c r="K50" s="150">
        <f t="shared" si="2"/>
        <v>38.4</v>
      </c>
      <c r="L50" s="143"/>
    </row>
    <row r="51" spans="1:12" x14ac:dyDescent="0.2">
      <c r="A51" s="175"/>
      <c r="B51" s="201" t="s">
        <v>432</v>
      </c>
      <c r="C51" s="218" t="str">
        <f>IF(B51=0,"",VLOOKUP($B51,Materials!$B$2:$H$127,2,FALSE))</f>
        <v>Herbicide</v>
      </c>
      <c r="D51" s="218"/>
      <c r="E51" s="218"/>
      <c r="F51" s="203">
        <v>7</v>
      </c>
      <c r="G51" s="205">
        <v>1</v>
      </c>
      <c r="H51" s="206">
        <v>0.3</v>
      </c>
      <c r="I51" s="153" t="str">
        <f>IF($B51=0,"",VLOOKUP($B51,Materials!$B$2:$H$127,5,FALSE))</f>
        <v>ounce</v>
      </c>
      <c r="J51" s="142">
        <f>IF($B51=0,"",VLOOKUP($B51,Materials!$B$2:$H$127,7,FALSE))</f>
        <v>9</v>
      </c>
      <c r="K51" s="150">
        <f t="shared" si="2"/>
        <v>2.7</v>
      </c>
      <c r="L51" s="143"/>
    </row>
    <row r="52" spans="1:12" x14ac:dyDescent="0.2">
      <c r="A52" s="175"/>
      <c r="B52" s="201" t="s">
        <v>41</v>
      </c>
      <c r="C52" s="218" t="str">
        <f>IF(B52=0,"",VLOOKUP($B52,Materials!$B$2:$H$127,2,FALSE))</f>
        <v>Additive</v>
      </c>
      <c r="D52" s="218"/>
      <c r="E52" s="218"/>
      <c r="F52" s="203">
        <v>7</v>
      </c>
      <c r="G52" s="205">
        <v>1</v>
      </c>
      <c r="H52" s="206">
        <v>6</v>
      </c>
      <c r="I52" s="153" t="str">
        <f>IF($B52=0,"",VLOOKUP($B52,Materials!$B$2:$H$127,5,FALSE))</f>
        <v>ounce</v>
      </c>
      <c r="J52" s="142">
        <f>IF($B52=0,"",VLOOKUP($B52,Materials!$B$2:$H$127,7,FALSE))</f>
        <v>0.171875</v>
      </c>
      <c r="K52" s="150">
        <f t="shared" si="2"/>
        <v>1.03</v>
      </c>
      <c r="L52" s="143"/>
    </row>
    <row r="53" spans="1:12" x14ac:dyDescent="0.2">
      <c r="A53" s="175"/>
      <c r="B53" s="201" t="s">
        <v>12</v>
      </c>
      <c r="C53" s="218" t="str">
        <f>IF(B53=0,"",VLOOKUP($B53,Materials!$B$2:$H$127,2,FALSE))</f>
        <v>Herbicide</v>
      </c>
      <c r="D53" s="218"/>
      <c r="E53" s="218"/>
      <c r="F53" s="203">
        <v>7</v>
      </c>
      <c r="G53" s="205">
        <v>1</v>
      </c>
      <c r="H53" s="206">
        <v>0.5</v>
      </c>
      <c r="I53" s="153" t="str">
        <f>IF($B53=0,"",VLOOKUP($B53,Materials!$B$2:$H$127,5,FALSE))</f>
        <v>pint</v>
      </c>
      <c r="J53" s="142">
        <f>IF($B53=0,"",VLOOKUP($B53,Materials!$B$2:$H$127,7,FALSE))</f>
        <v>2.5625</v>
      </c>
      <c r="K53" s="150">
        <f t="shared" si="2"/>
        <v>1.28</v>
      </c>
      <c r="L53" s="143"/>
    </row>
    <row r="54" spans="1:12" x14ac:dyDescent="0.2">
      <c r="A54" s="162" t="s">
        <v>381</v>
      </c>
      <c r="B54" s="201" t="s">
        <v>17</v>
      </c>
      <c r="C54" s="218" t="str">
        <f>IF(B54=0,"",VLOOKUP($B54,Materials!$B$2:$H$127,2,FALSE))</f>
        <v>Custom</v>
      </c>
      <c r="D54" s="218"/>
      <c r="E54" s="218"/>
      <c r="F54" s="203">
        <v>8</v>
      </c>
      <c r="G54" s="205">
        <v>0.2</v>
      </c>
      <c r="H54" s="206">
        <v>1</v>
      </c>
      <c r="I54" s="153" t="str">
        <f>IF($B54=0,"",VLOOKUP($B54,Materials!$B$2:$H$127,5,FALSE))</f>
        <v>acre</v>
      </c>
      <c r="J54" s="142">
        <f>IF($B54=0,"",VLOOKUP($B54,Materials!$B$2:$H$127,7,FALSE))</f>
        <v>9.5</v>
      </c>
      <c r="K54" s="150">
        <f t="shared" si="2"/>
        <v>1.9</v>
      </c>
      <c r="L54" s="143"/>
    </row>
    <row r="55" spans="1:12" x14ac:dyDescent="0.2">
      <c r="A55" s="162" t="s">
        <v>381</v>
      </c>
      <c r="B55" s="201" t="s">
        <v>54</v>
      </c>
      <c r="C55" s="218" t="str">
        <f>IF(B55=0,"",VLOOKUP($B55,Materials!$B$2:$H$127,2,FALSE))</f>
        <v>Fungicide</v>
      </c>
      <c r="D55" s="218"/>
      <c r="E55" s="218"/>
      <c r="F55" s="203">
        <v>8</v>
      </c>
      <c r="G55" s="205">
        <v>0.2</v>
      </c>
      <c r="H55" s="206">
        <v>4</v>
      </c>
      <c r="I55" s="153" t="str">
        <f>IF($B55=0,"",VLOOKUP($B55,Materials!$B$2:$H$127,5,FALSE))</f>
        <v>ounce</v>
      </c>
      <c r="J55" s="142">
        <f>IF($B55=0,"",VLOOKUP($B55,Materials!$B$2:$H$127,7,FALSE))</f>
        <v>0.8203125</v>
      </c>
      <c r="K55" s="150">
        <f t="shared" si="2"/>
        <v>0.66</v>
      </c>
      <c r="L55" s="143"/>
    </row>
    <row r="56" spans="1:12" x14ac:dyDescent="0.2">
      <c r="A56" s="162" t="s">
        <v>382</v>
      </c>
      <c r="B56" s="201" t="s">
        <v>17</v>
      </c>
      <c r="C56" s="218" t="str">
        <f>IF(B56=0,"",VLOOKUP($B56,Materials!$B$2:$H$127,2,FALSE))</f>
        <v>Custom</v>
      </c>
      <c r="D56" s="218"/>
      <c r="E56" s="218"/>
      <c r="F56" s="203">
        <v>9</v>
      </c>
      <c r="G56" s="205">
        <v>0.15</v>
      </c>
      <c r="H56" s="206">
        <v>1</v>
      </c>
      <c r="I56" s="153" t="str">
        <f>IF($B56=0,"",VLOOKUP($B56,Materials!$B$2:$H$127,5,FALSE))</f>
        <v>acre</v>
      </c>
      <c r="J56" s="142">
        <f>IF($B56=0,"",VLOOKUP($B56,Materials!$B$2:$H$127,7,FALSE))</f>
        <v>9.5</v>
      </c>
      <c r="K56" s="150">
        <f t="shared" si="2"/>
        <v>1.43</v>
      </c>
      <c r="L56" s="143"/>
    </row>
    <row r="57" spans="1:12" x14ac:dyDescent="0.2">
      <c r="A57" s="162" t="s">
        <v>382</v>
      </c>
      <c r="B57" s="201" t="s">
        <v>533</v>
      </c>
      <c r="C57" s="218" t="str">
        <f>IF(B57=0,"",VLOOKUP($B57,Materials!$B$2:$H$127,2,FALSE))</f>
        <v>Insecticide</v>
      </c>
      <c r="D57" s="218"/>
      <c r="E57" s="218"/>
      <c r="F57" s="203">
        <v>9</v>
      </c>
      <c r="G57" s="205">
        <v>0.1</v>
      </c>
      <c r="H57" s="206">
        <v>1</v>
      </c>
      <c r="I57" s="153" t="str">
        <f>IF($B57=0,"",VLOOKUP($B57,Materials!$B$2:$H$127,5,FALSE))</f>
        <v>pint</v>
      </c>
      <c r="J57" s="142">
        <f>IF($B57=0,"",VLOOKUP($B57,Materials!$B$2:$H$127,7,FALSE))</f>
        <v>6.875</v>
      </c>
      <c r="K57" s="150">
        <f t="shared" si="2"/>
        <v>0.69</v>
      </c>
      <c r="L57" s="143"/>
    </row>
    <row r="58" spans="1:12" x14ac:dyDescent="0.2">
      <c r="A58" s="162" t="s">
        <v>382</v>
      </c>
      <c r="B58" s="201" t="s">
        <v>384</v>
      </c>
      <c r="C58" s="218" t="str">
        <f>IF(B58=0,"",VLOOKUP($B58,Materials!$B$2:$H$127,2,FALSE))</f>
        <v>Insecticide</v>
      </c>
      <c r="D58" s="218"/>
      <c r="E58" s="218"/>
      <c r="F58" s="203">
        <v>9</v>
      </c>
      <c r="G58" s="205">
        <v>0.05</v>
      </c>
      <c r="H58" s="206">
        <v>1.92</v>
      </c>
      <c r="I58" s="153" t="str">
        <f>IF($B58=0,"",VLOOKUP($B58,Materials!$B$2:$H$127,5,FALSE))</f>
        <v>ounce</v>
      </c>
      <c r="J58" s="142">
        <f>IF($B58=0,"",VLOOKUP($B58,Materials!$B$2:$H$127,7,FALSE))</f>
        <v>2.96875</v>
      </c>
      <c r="K58" s="150">
        <f t="shared" si="2"/>
        <v>0.28999999999999998</v>
      </c>
      <c r="L58" s="145"/>
    </row>
    <row r="59" spans="1:12" x14ac:dyDescent="0.2">
      <c r="A59" s="175"/>
      <c r="B59" s="201" t="s">
        <v>586</v>
      </c>
      <c r="C59" s="218" t="str">
        <f>IF(B59=0,"",VLOOKUP($B59,Materials!$B$2:$H$127,2,FALSE))</f>
        <v>Custom</v>
      </c>
      <c r="D59" s="218"/>
      <c r="E59" s="218"/>
      <c r="F59" s="203">
        <v>11</v>
      </c>
      <c r="G59" s="205">
        <v>1</v>
      </c>
      <c r="H59" s="206">
        <f>A4</f>
        <v>60</v>
      </c>
      <c r="I59" s="153" t="str">
        <f>IF($B59=0,"",VLOOKUP($B59,Materials!$B$2:$H$127,5,FALSE))</f>
        <v>bushel</v>
      </c>
      <c r="J59" s="142">
        <f>IF($B59=0,"",VLOOKUP($B59,Materials!$B$2:$H$127,7,FALSE))</f>
        <v>0.11</v>
      </c>
      <c r="K59" s="150">
        <f>IF(B59=0,0,ROUND(G59*H59*J59,2))</f>
        <v>6.6</v>
      </c>
      <c r="L59" s="145"/>
    </row>
    <row r="60" spans="1:12" x14ac:dyDescent="0.2">
      <c r="B60" s="202" t="s">
        <v>538</v>
      </c>
      <c r="C60" s="218" t="str">
        <f>IF(B60=0,"",VLOOKUP($B60,Materials!$B$2:$H$127,2,FALSE))</f>
        <v>Scouting</v>
      </c>
      <c r="D60" s="218"/>
      <c r="E60" s="218"/>
      <c r="F60" s="204"/>
      <c r="G60" s="205">
        <v>1</v>
      </c>
      <c r="H60" s="208">
        <v>1</v>
      </c>
      <c r="I60" s="153" t="str">
        <f>IF($B60=0,"",VLOOKUP($B60,Materials!$B$2:$H$127,5,FALSE))</f>
        <v>acre</v>
      </c>
      <c r="J60" s="142">
        <f>IF($B60=0,"",VLOOKUP($B60,Materials!$B$2:$H$127,7,FALSE))</f>
        <v>7</v>
      </c>
      <c r="K60" s="150">
        <f>IF(B60=0,0,ROUND(G60*H60*J60,2))</f>
        <v>7</v>
      </c>
      <c r="L60" s="145"/>
    </row>
    <row r="61" spans="1:12" x14ac:dyDescent="0.2">
      <c r="B61" s="202" t="s">
        <v>451</v>
      </c>
      <c r="C61" s="218" t="str">
        <f>IF(B61=0,0,"Crop Insurance")</f>
        <v>Crop Insurance</v>
      </c>
      <c r="D61" s="218"/>
      <c r="E61" s="218"/>
      <c r="F61" s="144"/>
      <c r="G61" s="198"/>
      <c r="H61" s="200"/>
      <c r="I61" s="192"/>
      <c r="J61" s="142">
        <v>7.12</v>
      </c>
      <c r="K61" s="142">
        <f>IF(B61=0,0,J61)</f>
        <v>7.12</v>
      </c>
      <c r="L61" s="145"/>
    </row>
    <row r="62" spans="1:12" ht="3.75" customHeight="1" thickBot="1" x14ac:dyDescent="0.25">
      <c r="B62" s="146"/>
      <c r="C62" s="154"/>
      <c r="D62" s="154"/>
      <c r="E62" s="154"/>
      <c r="F62" s="147"/>
      <c r="G62" s="188"/>
      <c r="H62" s="156"/>
      <c r="I62" s="157"/>
      <c r="J62" s="158"/>
      <c r="K62" s="159"/>
      <c r="L62" s="149"/>
    </row>
    <row r="63" spans="1:12" ht="13.5" thickTop="1" x14ac:dyDescent="0.2">
      <c r="C63" s="139" t="s">
        <v>84</v>
      </c>
      <c r="D63" s="139"/>
      <c r="J63" s="160"/>
      <c r="K63" s="161">
        <f>SUM(K37:K61)</f>
        <v>136.18000000000004</v>
      </c>
      <c r="L63" s="143"/>
    </row>
    <row r="64" spans="1:12" ht="25.5" customHeight="1" x14ac:dyDescent="0.2">
      <c r="B64" s="233" t="s">
        <v>598</v>
      </c>
      <c r="C64" s="233"/>
      <c r="K64" s="161"/>
    </row>
    <row r="65" spans="2:12" x14ac:dyDescent="0.2">
      <c r="B65" s="140" t="s">
        <v>562</v>
      </c>
      <c r="K65" s="161">
        <f>K33+K63</f>
        <v>197.82000000000005</v>
      </c>
      <c r="L65" s="143"/>
    </row>
    <row r="66" spans="2:12" ht="13.5" thickBot="1" x14ac:dyDescent="0.25">
      <c r="D66" s="162" t="s">
        <v>580</v>
      </c>
      <c r="E66" s="163">
        <f>ROUND(SUM($E$33:$H$33)+$K$63,2)</f>
        <v>171.05</v>
      </c>
      <c r="F66" s="220" t="s">
        <v>360</v>
      </c>
      <c r="G66" s="220"/>
      <c r="H66" s="164">
        <f>'General Variables'!$B$11</f>
        <v>5.5E-2</v>
      </c>
      <c r="I66" s="165" t="str">
        <f>CONCATENATE("for ",TEXT('General Variables'!$B$12,"0.0")," mo.")</f>
        <v>for 6.0 mo.</v>
      </c>
      <c r="K66" s="166">
        <f>E66*H66*'General Variables'!$B$12/12</f>
        <v>4.703875</v>
      </c>
      <c r="L66" s="167"/>
    </row>
    <row r="67" spans="2:12" ht="13.5" thickTop="1" x14ac:dyDescent="0.2">
      <c r="B67" s="140" t="s">
        <v>364</v>
      </c>
      <c r="K67" s="161">
        <f>SUM(K65:K66)</f>
        <v>202.52387500000006</v>
      </c>
      <c r="L67" s="143"/>
    </row>
    <row r="68" spans="2:12" x14ac:dyDescent="0.2">
      <c r="K68" s="161"/>
    </row>
    <row r="69" spans="2:12" x14ac:dyDescent="0.2">
      <c r="B69" s="168" t="s">
        <v>596</v>
      </c>
      <c r="C69" s="169"/>
      <c r="D69" s="169"/>
      <c r="E69" s="169"/>
      <c r="F69" s="169"/>
      <c r="G69" s="169"/>
      <c r="H69" s="169"/>
      <c r="I69" s="169"/>
      <c r="J69" s="169"/>
      <c r="K69" s="170">
        <f>'General Variables'!B14</f>
        <v>20</v>
      </c>
      <c r="L69" s="143"/>
    </row>
    <row r="70" spans="2:12" x14ac:dyDescent="0.2">
      <c r="B70" s="129" t="s">
        <v>367</v>
      </c>
      <c r="C70" s="221" t="s">
        <v>423</v>
      </c>
      <c r="D70" s="222"/>
      <c r="E70" s="223"/>
      <c r="F70" s="171">
        <f>IF(C70=0,0,VLOOKUP(C70,RETable,2,FALSE))</f>
        <v>1855</v>
      </c>
      <c r="G70" s="220" t="s">
        <v>368</v>
      </c>
      <c r="H70" s="220"/>
      <c r="I70" s="164">
        <f>'General Variables'!$B$10</f>
        <v>0.04</v>
      </c>
      <c r="K70" s="172">
        <f>ROUND(F70*I70,2)*1.5</f>
        <v>111.30000000000001</v>
      </c>
      <c r="L70" s="143"/>
    </row>
    <row r="71" spans="2:12" ht="13.5" thickBot="1" x14ac:dyDescent="0.25">
      <c r="B71" s="129" t="s">
        <v>376</v>
      </c>
      <c r="F71" s="173">
        <f>IF(C70=0,0,VLOOKUP(C70,RETable,2,FALSE))</f>
        <v>1855</v>
      </c>
      <c r="G71" s="219" t="s">
        <v>368</v>
      </c>
      <c r="H71" s="219"/>
      <c r="I71" s="174">
        <f>'General Variables'!$B$13</f>
        <v>0.01</v>
      </c>
      <c r="J71" s="175"/>
      <c r="K71" s="176">
        <f>ROUND(F71*I71,2)*1.5</f>
        <v>27.825000000000003</v>
      </c>
      <c r="L71" s="167"/>
    </row>
    <row r="72" spans="2:12" ht="13.5" thickTop="1" x14ac:dyDescent="0.2">
      <c r="B72" s="140" t="s">
        <v>383</v>
      </c>
      <c r="K72" s="161">
        <f>SUM(K67:K71)</f>
        <v>361.64887500000003</v>
      </c>
      <c r="L72" s="143"/>
    </row>
    <row r="73" spans="2:12" x14ac:dyDescent="0.2">
      <c r="K73" s="162"/>
    </row>
    <row r="74" spans="2:12" x14ac:dyDescent="0.2">
      <c r="B74" s="140" t="str">
        <f>"Cost per "&amp;$B$4</f>
        <v>Cost per bu</v>
      </c>
      <c r="K74" s="177">
        <f>IF(A4="Yield",0,K72/$A$4)</f>
        <v>6.0274812500000001</v>
      </c>
      <c r="L74" s="143"/>
    </row>
    <row r="75" spans="2:12" x14ac:dyDescent="0.2">
      <c r="B75" s="178" t="str">
        <f>"Cash Cost per "&amp;$B$4</f>
        <v>Cash Cost per bu</v>
      </c>
      <c r="C75" s="175"/>
      <c r="D75" s="175"/>
      <c r="E75" s="175"/>
      <c r="F75" s="175"/>
      <c r="G75" s="175"/>
      <c r="H75" s="175"/>
      <c r="I75" s="175"/>
      <c r="J75" s="175"/>
      <c r="K75" s="179">
        <f>IF($A$4="Yield",0,(E66+K66+K71)/$A$4)</f>
        <v>3.3929812500000005</v>
      </c>
      <c r="L75" s="186"/>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506</v>
      </c>
    </row>
    <row r="112" spans="2:11" x14ac:dyDescent="0.2">
      <c r="B112" s="175"/>
      <c r="C112" s="175"/>
      <c r="D112" s="175"/>
      <c r="H112" s="129" t="str">
        <f>'General Variables'!A20</f>
        <v>Corn Irrigated</v>
      </c>
      <c r="K112" s="129" t="s">
        <v>507</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5">
    <mergeCell ref="G71:H71"/>
    <mergeCell ref="C52:E52"/>
    <mergeCell ref="C53:E53"/>
    <mergeCell ref="C54:E54"/>
    <mergeCell ref="C55:E55"/>
    <mergeCell ref="C56:E56"/>
    <mergeCell ref="C57:E57"/>
    <mergeCell ref="C58:E58"/>
    <mergeCell ref="C61:E61"/>
    <mergeCell ref="F66:G66"/>
    <mergeCell ref="C59:E59"/>
    <mergeCell ref="C60:E60"/>
    <mergeCell ref="C70:E70"/>
    <mergeCell ref="G70:H70"/>
    <mergeCell ref="B64:C64"/>
    <mergeCell ref="K10:K11"/>
    <mergeCell ref="L10:L11"/>
    <mergeCell ref="F35:F36"/>
    <mergeCell ref="G35:G36"/>
    <mergeCell ref="H35:I35"/>
    <mergeCell ref="J35:J36"/>
    <mergeCell ref="L35:L36"/>
    <mergeCell ref="I10:J10"/>
    <mergeCell ref="C51:E51"/>
    <mergeCell ref="C46:E46"/>
    <mergeCell ref="C47:E47"/>
    <mergeCell ref="C48:E48"/>
    <mergeCell ref="C49:E49"/>
    <mergeCell ref="C50:E50"/>
    <mergeCell ref="A5:L5"/>
    <mergeCell ref="C42:E42"/>
    <mergeCell ref="C45:E45"/>
    <mergeCell ref="C44:E44"/>
    <mergeCell ref="C37:E37"/>
    <mergeCell ref="C38:E38"/>
    <mergeCell ref="C40:E40"/>
    <mergeCell ref="C41:E41"/>
    <mergeCell ref="C43:E43"/>
    <mergeCell ref="C39:E39"/>
    <mergeCell ref="A7:L7"/>
    <mergeCell ref="B10:B11"/>
    <mergeCell ref="C10:C11"/>
    <mergeCell ref="E10:E11"/>
    <mergeCell ref="F10:F11"/>
    <mergeCell ref="G10:H10"/>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5">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70-Wheat</v>
      </c>
      <c r="B2" s="131"/>
      <c r="C2" s="132" t="s">
        <v>558</v>
      </c>
      <c r="D2" s="132"/>
      <c r="E2" s="131"/>
      <c r="I2" s="185" t="s">
        <v>502</v>
      </c>
      <c r="J2" s="178" t="s">
        <v>503</v>
      </c>
      <c r="L2" s="134" t="str">
        <f>'General Variables'!A3&amp;" "&amp;'General Variables'!B3</f>
        <v>Year 2016</v>
      </c>
      <c r="O2" s="135" t="s">
        <v>407</v>
      </c>
    </row>
    <row r="3" spans="1:15" hidden="1" x14ac:dyDescent="0.2">
      <c r="A3" s="130" t="s">
        <v>559</v>
      </c>
      <c r="B3" s="131"/>
      <c r="C3" s="132"/>
      <c r="D3" s="132"/>
      <c r="E3" s="131"/>
      <c r="G3" s="136"/>
      <c r="H3" s="129">
        <v>6</v>
      </c>
      <c r="I3" s="131" t="s">
        <v>540</v>
      </c>
      <c r="O3" s="135" t="s">
        <v>406</v>
      </c>
    </row>
    <row r="4" spans="1:15" hidden="1" x14ac:dyDescent="0.2">
      <c r="A4" s="130">
        <v>90</v>
      </c>
      <c r="B4" s="130" t="s">
        <v>56</v>
      </c>
      <c r="C4" s="132"/>
      <c r="D4" s="132"/>
      <c r="E4" s="131"/>
      <c r="F4" s="131"/>
      <c r="G4" s="131"/>
      <c r="H4" s="131"/>
      <c r="I4" s="131"/>
      <c r="J4" s="134" t="s">
        <v>505</v>
      </c>
      <c r="K4" s="140"/>
      <c r="O4" s="135" t="str">
        <f>B4</f>
        <v>bu</v>
      </c>
    </row>
    <row r="5" spans="1:15" ht="15.75" hidden="1" x14ac:dyDescent="0.25">
      <c r="A5" s="217" t="str">
        <f ca="1" xml:space="preserve"> A2  &amp; IF(C2="","",  ", " &amp;C2 ) &amp; ", " &amp; A3 &amp; ", " &amp; I2</f>
        <v>70-Wheat, No-Till after Beans, 100 bu Yield Goal, Pivot Irrigated</v>
      </c>
      <c r="B5" s="217"/>
      <c r="C5" s="217"/>
      <c r="D5" s="217"/>
      <c r="E5" s="217"/>
      <c r="F5" s="217"/>
      <c r="G5" s="217"/>
      <c r="H5" s="217"/>
      <c r="I5" s="217"/>
      <c r="J5" s="217"/>
      <c r="K5" s="217"/>
      <c r="L5" s="217"/>
      <c r="O5" s="135"/>
    </row>
    <row r="6" spans="1:15" ht="15.75" hidden="1" x14ac:dyDescent="0.25">
      <c r="A6" s="191"/>
      <c r="B6" s="191"/>
      <c r="C6" s="191"/>
      <c r="D6" s="191"/>
      <c r="E6" s="191"/>
      <c r="F6" s="191"/>
      <c r="G6" s="191"/>
      <c r="H6" s="191"/>
      <c r="I6" s="191"/>
      <c r="J6" s="191"/>
      <c r="K6" s="191"/>
      <c r="L6" s="191"/>
      <c r="O6" s="135"/>
    </row>
    <row r="7" spans="1:15" ht="30" customHeight="1" x14ac:dyDescent="0.25">
      <c r="A7" s="217" t="str">
        <f ca="1">'General Variables'!B3 &amp; " Budget "  &amp; A2 &amp;", "  &amp; IF(C2=0,"", " " &amp; C2 &amp; ", ") &amp;  A3 &amp; IF(A4=""," ", " (") &amp; A4 &amp; " " &amp; B4 &amp; IF(A4="",""," Actual Yield)")</f>
        <v>2016 Budget 70-Wheat,  No-Till after Beans, 100 bu Yield Goal (90 bu Actual Yield)</v>
      </c>
      <c r="B7" s="217"/>
      <c r="C7" s="217"/>
      <c r="D7" s="217"/>
      <c r="E7" s="217"/>
      <c r="F7" s="217"/>
      <c r="G7" s="217"/>
      <c r="H7" s="217"/>
      <c r="I7" s="217"/>
      <c r="J7" s="217"/>
      <c r="K7" s="217"/>
      <c r="L7" s="217"/>
      <c r="O7" s="135"/>
    </row>
    <row r="8" spans="1:15" ht="15.75" x14ac:dyDescent="0.25">
      <c r="A8" s="187" t="str">
        <f>IF(I2="Dryland","Dryland",I2 &amp; IF(J2="","",", "&amp;J2)&amp;IF(H3="","",", "&amp;H3&amp;" "&amp;I3))</f>
        <v>Pivot Irrigated, 800 GPM 35 PSI, 6 acre/inches</v>
      </c>
      <c r="B8" s="130"/>
      <c r="C8" s="132"/>
      <c r="D8" s="132"/>
      <c r="E8" s="131"/>
      <c r="F8" s="131"/>
      <c r="G8" s="131"/>
      <c r="H8" s="131"/>
      <c r="I8" s="131"/>
      <c r="O8" s="135"/>
    </row>
    <row r="10" spans="1:15" s="140" customFormat="1" ht="22.5" customHeight="1" x14ac:dyDescent="0.2">
      <c r="B10" s="226" t="s">
        <v>71</v>
      </c>
      <c r="C10" s="225" t="s">
        <v>1</v>
      </c>
      <c r="D10" s="195"/>
      <c r="E10" s="225" t="str">
        <f>"Labor @ $" &amp;TEXT('General Variables'!B4,"#.00")&amp; " /Hr"</f>
        <v>Labor @ $20.00 /Hr</v>
      </c>
      <c r="F10" s="225" t="str">
        <f>"Fuel @ $" &amp; TEXT('General Variables'!B5,"#.00") &amp; " and Lube"</f>
        <v>Fuel @ $2.25 and Lube</v>
      </c>
      <c r="G10" s="228" t="s">
        <v>72</v>
      </c>
      <c r="H10" s="228"/>
      <c r="I10" s="228" t="s">
        <v>352</v>
      </c>
      <c r="J10" s="228"/>
      <c r="K10" s="228" t="s">
        <v>2</v>
      </c>
      <c r="L10" s="225" t="s">
        <v>359</v>
      </c>
    </row>
    <row r="11" spans="1:15" s="140" customFormat="1" ht="21.75" customHeight="1" thickBot="1" x14ac:dyDescent="0.25">
      <c r="B11" s="227"/>
      <c r="C11" s="224"/>
      <c r="D11" s="194" t="s">
        <v>70</v>
      </c>
      <c r="E11" s="224"/>
      <c r="F11" s="224"/>
      <c r="G11" s="196" t="s">
        <v>73</v>
      </c>
      <c r="H11" s="196" t="s">
        <v>75</v>
      </c>
      <c r="I11" s="196" t="s">
        <v>73</v>
      </c>
      <c r="J11" s="196" t="s">
        <v>75</v>
      </c>
      <c r="K11" s="229"/>
      <c r="L11" s="224"/>
    </row>
    <row r="12" spans="1:15" ht="13.5" thickTop="1" x14ac:dyDescent="0.2">
      <c r="A12" s="193">
        <v>1</v>
      </c>
      <c r="B12" s="201" t="s">
        <v>283</v>
      </c>
      <c r="C12" s="203">
        <v>1</v>
      </c>
      <c r="D12" s="197"/>
      <c r="E12" s="142">
        <f>IF(B12=0,"",IF(C12&gt;9999,"",ROUND('General Variables'!$B$4*VLOOKUP(B12,Operations!$A$2:$U$101,10,FALSE)/VLOOKUP(B12,Operations!$A$2:$U$101,9,FALSE)*C12,2)))</f>
        <v>1.83</v>
      </c>
      <c r="F12" s="142">
        <f>IF(B12=0,0,IF(C12&gt;9999,"",ROUND(IF(VLOOKUP(B12,Operations!$A$2:$U$101,12,FALSE)=0,VLOOKUP(B12,Operations!$A$2:$U$101,13,FALSE)*'General Variables'!$B$8,VLOOKUP(B12,Operations!$A$2:$U$101,12,FALSE)*'General Variables'!$B$7)/VLOOKUP(B12,Operations!$A$2:$U$101,9,FALSE)*C12,2)))</f>
        <v>1.31</v>
      </c>
      <c r="G12" s="142">
        <f>IF(B12=0,0,IF(C12&gt;9999,"",ROUND(VLOOKUP(VLOOKUP(B12,Operations!$A$2:$U$101,11,FALSE),PowerUnits[],10,FALSE)/VLOOKUP(B12,Operations!$A$2:$U$101,9,FALSE)*C12,2)))</f>
        <v>0.69</v>
      </c>
      <c r="H12" s="142">
        <f>IF(B12=0,"",IF(C12&gt;9999,"",ROUND(VLOOKUP($B12,Operations!$A$2:$U$101,15,FALSE)*C12,2)))</f>
        <v>1.57</v>
      </c>
      <c r="I12" s="142">
        <f>IF(B12=0,0,IF(C12&gt;9999,"",ROUND(VLOOKUP(VLOOKUP(B12,Operations!$A$2:$U$101,11,FALSE),PowerUnits[],16,FALSE)/VLOOKUP(B12,Operations!$A$2:$U$101,9,FALSE)*C12,2)))</f>
        <v>2.2999999999999998</v>
      </c>
      <c r="J12" s="142">
        <f>IF(B12=0,"",IF(C12&gt;9999,"",ROUND(VLOOKUP($B12,Operations!$A$2:$U$101,21,FALSE)*$C12,2)))</f>
        <v>3.54</v>
      </c>
      <c r="K12" s="142">
        <f>IF(C12&gt;9999,"",ROUND(SUM(E12:J12),2))</f>
        <v>11.24</v>
      </c>
      <c r="L12" s="143"/>
    </row>
    <row r="13" spans="1:15" x14ac:dyDescent="0.2">
      <c r="A13" s="193">
        <v>2</v>
      </c>
      <c r="B13" s="201" t="s">
        <v>564</v>
      </c>
      <c r="C13" s="203">
        <f>$H$3</f>
        <v>6</v>
      </c>
      <c r="D13" s="197" t="s">
        <v>406</v>
      </c>
      <c r="E13" s="142">
        <f>IF(B13=0,"",IF(C13&gt;9999,"",ROUND('General Variables'!$B$4*VLOOKUP(B13,Operations!$A$2:$U$101,10,FALSE)/VLOOKUP(B13,Operations!$A$2:$U$101,9,FALSE)*C13,2)))</f>
        <v>4.17</v>
      </c>
      <c r="F13" s="142">
        <f>IF(B13=0,0,IF(C13&gt;9999,"",ROUND(IF(VLOOKUP(B13,Operations!$A$2:$U$101,12,FALSE)=0,VLOOKUP(B13,Operations!$A$2:$U$101,13,FALSE)*'General Variables'!$B$8,VLOOKUP(B13,Operations!$A$2:$U$101,12,FALSE)*'General Variables'!$B$7)/VLOOKUP(B13,Operations!$A$2:$U$101,9,FALSE)*C13,2)))</f>
        <v>28.81</v>
      </c>
      <c r="G13" s="142">
        <f>IF(B13=0,0,IF(C13&gt;9999,"",ROUND(VLOOKUP(VLOOKUP(B13,Operations!$A$2:$U$101,11,FALSE),PowerUnits[],10,FALSE)/VLOOKUP(B13,Operations!$A$2:$U$101,9,FALSE)*C13,2)))</f>
        <v>2.06</v>
      </c>
      <c r="H13" s="142">
        <f>IF(B13=0,"",IF(C13&gt;9999,"",ROUND(VLOOKUP($B13,Operations!$A$2:$U$101,15,FALSE)*C13,2)))</f>
        <v>9.68</v>
      </c>
      <c r="I13" s="142">
        <f>IF(B13=0,0,IF(C13&gt;9999,"",ROUND(VLOOKUP(VLOOKUP(B13,Operations!$A$2:$U$101,11,FALSE),PowerUnits[],16,FALSE)/VLOOKUP(B13,Operations!$A$2:$U$101,9,FALSE)*C13,2)))</f>
        <v>2.98</v>
      </c>
      <c r="J13" s="142">
        <f>IF(B13=0,"",IF(C13&gt;9999,"",ROUND(VLOOKUP($B13,Operations!$A$2:$U$101,21,FALSE)*$C13,2)))</f>
        <v>5.79</v>
      </c>
      <c r="K13" s="142">
        <f>IF(C13&gt;9999,"",ROUND(SUM(E13:J13),2))</f>
        <v>53.49</v>
      </c>
      <c r="L13" s="143"/>
    </row>
    <row r="14" spans="1:15" x14ac:dyDescent="0.2">
      <c r="A14" s="193">
        <v>3</v>
      </c>
      <c r="B14" s="201" t="s">
        <v>51</v>
      </c>
      <c r="C14" s="203">
        <v>1</v>
      </c>
      <c r="D14" s="197"/>
      <c r="E14" s="142">
        <f>IF(B14=0,"",IF(C14&gt;9999,"",ROUND('General Variables'!$B$4*VLOOKUP(B14,Operations!$A$2:$U$101,10,FALSE)/VLOOKUP(B14,Operations!$A$2:$U$101,9,FALSE)*C14,2)))</f>
        <v>1</v>
      </c>
      <c r="F14" s="142">
        <f>IF(B14=0,0,IF(C14&gt;9999,"",ROUND(IF(VLOOKUP(B14,Operations!$A$2:$U$101,12,FALSE)=0,VLOOKUP(B14,Operations!$A$2:$U$101,13,FALSE)*'General Variables'!$B$8,VLOOKUP(B14,Operations!$A$2:$U$101,12,FALSE)*'General Variables'!$B$7)/VLOOKUP(B14,Operations!$A$2:$U$101,9,FALSE)*C14,2)))</f>
        <v>0.27</v>
      </c>
      <c r="G14" s="142">
        <f>IF(B14=0,0,IF(C14&gt;9999,"",ROUND(VLOOKUP(VLOOKUP(B14,Operations!$A$2:$U$101,11,FALSE),PowerUnits[],10,FALSE)/VLOOKUP(B14,Operations!$A$2:$U$101,9,FALSE)*C14,2)))</f>
        <v>0.33</v>
      </c>
      <c r="H14" s="142">
        <f>IF(B14=0,"",IF(C14&gt;9999,"",ROUND(VLOOKUP($B14,Operations!$A$2:$U$101,15,FALSE)*C14,2)))</f>
        <v>0.64</v>
      </c>
      <c r="I14" s="142">
        <f>IF(B14=0,0,IF(C14&gt;9999,"",ROUND(VLOOKUP(VLOOKUP(B14,Operations!$A$2:$U$101,11,FALSE),PowerUnits[],16,FALSE)/VLOOKUP(B14,Operations!$A$2:$U$101,9,FALSE)*C14,2)))</f>
        <v>1.1100000000000001</v>
      </c>
      <c r="J14" s="142">
        <f>IF(B14=0,"",IF(C14&gt;9999,"",ROUND(VLOOKUP($B14,Operations!$A$2:$U$101,21,FALSE)*$C14,2)))</f>
        <v>0.88</v>
      </c>
      <c r="K14" s="142">
        <f t="shared" ref="K14:K31" si="0">IF(C14&gt;9999,"",ROUND(SUM(E14:J14),2))</f>
        <v>4.2300000000000004</v>
      </c>
      <c r="L14" s="143"/>
    </row>
    <row r="15" spans="1:15" x14ac:dyDescent="0.2">
      <c r="A15" s="193">
        <v>4</v>
      </c>
      <c r="B15" s="201" t="s">
        <v>17</v>
      </c>
      <c r="C15" s="203" t="s">
        <v>3</v>
      </c>
      <c r="D15" s="197"/>
      <c r="E15" s="142" t="str">
        <f>IF(B15=0,"",IF(C15&gt;9999,"",ROUND('General Variables'!$B$4*VLOOKUP(B15,Operations!$A$2:$U$101,10,FALSE)/VLOOKUP(B15,Operations!$A$2:$U$101,9,FALSE)*C15,2)))</f>
        <v/>
      </c>
      <c r="F15" s="142" t="str">
        <f>IF(B15=0,0,IF(C15&gt;9999,"",ROUND(IF(VLOOKUP(B15,Operations!$A$2:$U$101,12,FALSE)=0,VLOOKUP(B15,Operations!$A$2:$U$101,13,FALSE)*'General Variables'!$B$8,VLOOKUP(B15,Operations!$A$2:$U$101,12,FALSE)*'General Variables'!$B$7)/VLOOKUP(B15,Operations!$A$2:$U$101,9,FALSE)*C15,2)))</f>
        <v/>
      </c>
      <c r="G15" s="142" t="str">
        <f>IF(B15=0,0,IF(C15&gt;9999,"",ROUND(VLOOKUP(VLOOKUP(B15,Operations!$A$2:$U$101,11,FALSE),PowerUnits[],10,FALSE)/VLOOKUP(B15,Operations!$A$2:$U$101,9,FALSE)*C15,2)))</f>
        <v/>
      </c>
      <c r="H15" s="142" t="str">
        <f>IF(B15=0,"",IF(C15&gt;9999,"",ROUND(VLOOKUP($B15,Operations!$A$2:$U$101,15,FALSE)*C15,2)))</f>
        <v/>
      </c>
      <c r="I15" s="142" t="str">
        <f>IF(B15=0,0,IF(C15&gt;9999,"",ROUND(VLOOKUP(VLOOKUP(B15,Operations!$A$2:$U$101,11,FALSE),PowerUnits[],16,FALSE)/VLOOKUP(B15,Operations!$A$2:$U$101,9,FALSE)*C15,2)))</f>
        <v/>
      </c>
      <c r="J15" s="142" t="str">
        <f>IF(B15=0,"",IF(C15&gt;9999,"",ROUND(VLOOKUP($B15,Operations!$A$2:$U$101,21,FALSE)*$C15,2)))</f>
        <v/>
      </c>
      <c r="K15" s="142" t="str">
        <f t="shared" si="0"/>
        <v/>
      </c>
      <c r="L15" s="143"/>
    </row>
    <row r="16" spans="1:15" x14ac:dyDescent="0.2">
      <c r="A16" s="193">
        <v>5</v>
      </c>
      <c r="B16" s="201" t="s">
        <v>17</v>
      </c>
      <c r="C16" s="203" t="s">
        <v>3</v>
      </c>
      <c r="D16" s="197"/>
      <c r="E16" s="142" t="str">
        <f>IF(B16=0,"",IF(C16&gt;9999,"",ROUND('General Variables'!$B$4*VLOOKUP(B16,Operations!$A$2:$U$101,10,FALSE)/VLOOKUP(B16,Operations!$A$2:$U$101,9,FALSE)*C16,2)))</f>
        <v/>
      </c>
      <c r="F16" s="142" t="str">
        <f>IF(B16=0,0,IF(C16&gt;9999,"",ROUND(IF(VLOOKUP(B16,Operations!$A$2:$U$101,12,FALSE)=0,VLOOKUP(B16,Operations!$A$2:$U$101,13,FALSE)*'General Variables'!$B$8,VLOOKUP(B16,Operations!$A$2:$U$101,12,FALSE)*'General Variables'!$B$7)/VLOOKUP(B16,Operations!$A$2:$U$101,9,FALSE)*C16,2)))</f>
        <v/>
      </c>
      <c r="G16" s="142" t="str">
        <f>IF(B16=0,0,IF(C16&gt;9999,"",ROUND(VLOOKUP(VLOOKUP(B16,Operations!$A$2:$U$101,11,FALSE),PowerUnits[],10,FALSE)/VLOOKUP(B16,Operations!$A$2:$U$101,9,FALSE)*C16,2)))</f>
        <v/>
      </c>
      <c r="H16" s="142" t="str">
        <f>IF(B16=0,"",IF(C16&gt;9999,"",ROUND(VLOOKUP($B16,Operations!$A$2:$U$101,15,FALSE)*C16,2)))</f>
        <v/>
      </c>
      <c r="I16" s="142" t="str">
        <f>IF(B16=0,0,IF(C16&gt;9999,"",ROUND(VLOOKUP(VLOOKUP(B16,Operations!$A$2:$U$101,11,FALSE),PowerUnits[],16,FALSE)/VLOOKUP(B16,Operations!$A$2:$U$101,9,FALSE)*C16,2)))</f>
        <v/>
      </c>
      <c r="J16" s="142" t="str">
        <f>IF(B16=0,"",IF(C16&gt;9999,"",ROUND(VLOOKUP($B16,Operations!$A$2:$U$101,21,FALSE)*$C16,2)))</f>
        <v/>
      </c>
      <c r="K16" s="142" t="str">
        <f t="shared" si="0"/>
        <v/>
      </c>
      <c r="L16" s="143"/>
    </row>
    <row r="17" spans="1:12" x14ac:dyDescent="0.2">
      <c r="A17" s="193">
        <v>6</v>
      </c>
      <c r="B17" s="201" t="s">
        <v>491</v>
      </c>
      <c r="C17" s="203">
        <v>1</v>
      </c>
      <c r="D17" s="197"/>
      <c r="E17" s="142">
        <f>IF(B17=0,"",IF(C17&gt;9999,"",ROUND('General Variables'!$B$4*VLOOKUP(B17,Operations!$A$2:$U$101,10,FALSE)/VLOOKUP(B17,Operations!$A$2:$U$101,9,FALSE)*C17,2)))</f>
        <v>3.14</v>
      </c>
      <c r="F17" s="142">
        <f>IF(B17=0,0,IF(C17&gt;9999,"",ROUND(IF(VLOOKUP(B17,Operations!$A$2:$U$101,12,FALSE)=0,VLOOKUP(B17,Operations!$A$2:$U$101,13,FALSE)*'General Variables'!$B$8,VLOOKUP(B17,Operations!$A$2:$U$101,12,FALSE)*'General Variables'!$B$7)/VLOOKUP(B17,Operations!$A$2:$U$101,9,FALSE)*C17,2)))</f>
        <v>3.87</v>
      </c>
      <c r="G17" s="142">
        <f>IF(B17=0,0,IF(C17&gt;9999,"",ROUND(VLOOKUP(VLOOKUP(B17,Operations!$A$2:$U$101,11,FALSE),PowerUnits[],10,FALSE)/VLOOKUP(B17,Operations!$A$2:$U$101,9,FALSE)*C17,2)))</f>
        <v>7.31</v>
      </c>
      <c r="H17" s="142">
        <f>IF(B17=0,"",IF(C17&gt;9999,"",ROUND(VLOOKUP($B17,Operations!$A$2:$U$101,15,FALSE)*C17,2)))</f>
        <v>0.93</v>
      </c>
      <c r="I17" s="142">
        <f>IF(B17=0,0,IF(C17&gt;9999,"",ROUND(VLOOKUP(VLOOKUP(B17,Operations!$A$2:$U$101,11,FALSE),PowerUnits[],16,FALSE)/VLOOKUP(B17,Operations!$A$2:$U$101,9,FALSE)*C17,2)))</f>
        <v>5.99</v>
      </c>
      <c r="J17" s="142">
        <f>IF(B17=0,"",IF(C17&gt;9999,"",ROUND(VLOOKUP($B17,Operations!$A$2:$U$101,21,FALSE)*$C17,2)))</f>
        <v>2.81</v>
      </c>
      <c r="K17" s="142">
        <f t="shared" si="0"/>
        <v>24.05</v>
      </c>
      <c r="L17" s="143"/>
    </row>
    <row r="18" spans="1:12" x14ac:dyDescent="0.2">
      <c r="A18" s="193">
        <v>7</v>
      </c>
      <c r="B18" s="201" t="s">
        <v>296</v>
      </c>
      <c r="C18" s="203" t="s">
        <v>3</v>
      </c>
      <c r="D18" s="197"/>
      <c r="E18" s="142" t="str">
        <f>IF(B18=0,"",IF(C18&gt;9999,"",ROUND('General Variables'!$B$4*VLOOKUP(B18,Operations!$A$2:$U$101,10,FALSE)/VLOOKUP(B18,Operations!$A$2:$U$101,9,FALSE)*C18,2)))</f>
        <v/>
      </c>
      <c r="F18" s="142" t="str">
        <f>IF(B18=0,0,IF(C18&gt;9999,"",ROUND(IF(VLOOKUP(B18,Operations!$A$2:$U$101,12,FALSE)=0,VLOOKUP(B18,Operations!$A$2:$U$101,13,FALSE)*'General Variables'!$B$8,VLOOKUP(B18,Operations!$A$2:$U$101,12,FALSE)*'General Variables'!$B$7)/VLOOKUP(B18,Operations!$A$2:$U$101,9,FALSE)*C18,2)))</f>
        <v/>
      </c>
      <c r="G18" s="142" t="str">
        <f>IF(B18=0,0,IF(C18&gt;9999,"",ROUND(VLOOKUP(VLOOKUP(B18,Operations!$A$2:$U$101,11,FALSE),PowerUnits[],10,FALSE)/VLOOKUP(B18,Operations!$A$2:$U$101,9,FALSE)*C18,2)))</f>
        <v/>
      </c>
      <c r="H18" s="142" t="str">
        <f>IF(B18=0,"",IF(C18&gt;9999,"",ROUND(VLOOKUP($B18,Operations!$A$2:$U$101,15,FALSE)*C18,2)))</f>
        <v/>
      </c>
      <c r="I18" s="142" t="str">
        <f>IF(B18=0,0,IF(C18&gt;9999,"",ROUND(VLOOKUP(VLOOKUP(B18,Operations!$A$2:$U$101,11,FALSE),PowerUnits[],16,FALSE)/VLOOKUP(B18,Operations!$A$2:$U$101,9,FALSE)*C18,2)))</f>
        <v/>
      </c>
      <c r="J18" s="142" t="str">
        <f>IF(B18=0,"",IF(C18&gt;9999,"",ROUND(VLOOKUP($B18,Operations!$A$2:$U$101,21,FALSE)*$C18,2)))</f>
        <v/>
      </c>
      <c r="K18" s="142" t="str">
        <f t="shared" si="0"/>
        <v/>
      </c>
      <c r="L18" s="143"/>
    </row>
    <row r="19" spans="1:12" hidden="1" x14ac:dyDescent="0.2">
      <c r="A19" s="193">
        <v>8</v>
      </c>
      <c r="B19" s="201"/>
      <c r="C19" s="203"/>
      <c r="D19" s="197"/>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 t="shared" si="0"/>
        <v>0</v>
      </c>
      <c r="L19" s="143"/>
    </row>
    <row r="20" spans="1:12" hidden="1" x14ac:dyDescent="0.2">
      <c r="A20" s="193">
        <v>9</v>
      </c>
      <c r="B20" s="201"/>
      <c r="C20" s="203"/>
      <c r="D20" s="144"/>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3">
        <v>10</v>
      </c>
      <c r="B21" s="201"/>
      <c r="C21" s="203"/>
      <c r="D21" s="144"/>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3">
        <v>11</v>
      </c>
      <c r="B22" s="201"/>
      <c r="C22" s="203"/>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3">
        <v>12</v>
      </c>
      <c r="B23" s="201"/>
      <c r="C23" s="203"/>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3">
        <v>13</v>
      </c>
      <c r="B24" s="201"/>
      <c r="C24" s="203"/>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3">
        <v>14</v>
      </c>
      <c r="B25" s="202"/>
      <c r="C25" s="204"/>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3">
        <v>15</v>
      </c>
      <c r="B26" s="202"/>
      <c r="C26" s="204"/>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3">
        <v>16</v>
      </c>
      <c r="B27" s="202"/>
      <c r="C27" s="204"/>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3">
        <v>17</v>
      </c>
      <c r="B28" s="202"/>
      <c r="C28" s="204"/>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3">
        <v>18</v>
      </c>
      <c r="B29" s="202"/>
      <c r="C29" s="204"/>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3">
        <v>19</v>
      </c>
      <c r="B30" s="202"/>
      <c r="C30" s="204"/>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3">
        <v>20</v>
      </c>
      <c r="B31" s="202"/>
      <c r="C31" s="204"/>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3"/>
      <c r="B32" s="146"/>
      <c r="C32" s="147"/>
      <c r="D32" s="147"/>
      <c r="E32" s="148"/>
      <c r="F32" s="148"/>
      <c r="G32" s="148"/>
      <c r="H32" s="148"/>
      <c r="I32" s="148"/>
      <c r="J32" s="148"/>
      <c r="K32" s="148"/>
      <c r="L32" s="149"/>
    </row>
    <row r="33" spans="1:12" ht="13.5" thickTop="1" x14ac:dyDescent="0.2">
      <c r="C33" s="139" t="s">
        <v>74</v>
      </c>
      <c r="D33" s="139"/>
      <c r="E33" s="150">
        <f>SUM(E12:E31)</f>
        <v>10.14</v>
      </c>
      <c r="F33" s="150">
        <f t="shared" ref="F33:K33" si="1">SUM(F12:F31)</f>
        <v>34.26</v>
      </c>
      <c r="G33" s="150">
        <f t="shared" si="1"/>
        <v>10.39</v>
      </c>
      <c r="H33" s="150">
        <f t="shared" si="1"/>
        <v>12.82</v>
      </c>
      <c r="I33" s="150">
        <f t="shared" si="1"/>
        <v>12.379999999999999</v>
      </c>
      <c r="J33" s="150">
        <f t="shared" si="1"/>
        <v>13.020000000000001</v>
      </c>
      <c r="K33" s="150">
        <f t="shared" si="1"/>
        <v>93.01</v>
      </c>
      <c r="L33" s="143"/>
    </row>
    <row r="35" spans="1:12" ht="24" customHeight="1" thickBot="1" x14ac:dyDescent="0.25">
      <c r="B35" s="136"/>
      <c r="C35" s="136"/>
      <c r="D35" s="136"/>
      <c r="E35" s="136"/>
      <c r="F35" s="224" t="s">
        <v>85</v>
      </c>
      <c r="G35" s="224" t="s">
        <v>82</v>
      </c>
      <c r="H35" s="225" t="s">
        <v>86</v>
      </c>
      <c r="I35" s="225"/>
      <c r="J35" s="224" t="s">
        <v>62</v>
      </c>
      <c r="L35" s="225" t="s">
        <v>359</v>
      </c>
    </row>
    <row r="36" spans="1:12" s="151" customFormat="1" ht="18.75" customHeight="1" thickTop="1" thickBot="1" x14ac:dyDescent="0.25">
      <c r="B36" s="152" t="s">
        <v>81</v>
      </c>
      <c r="C36" s="194"/>
      <c r="D36" s="194"/>
      <c r="E36" s="194"/>
      <c r="F36" s="224"/>
      <c r="G36" s="224"/>
      <c r="H36" s="189" t="s">
        <v>87</v>
      </c>
      <c r="I36" s="190" t="s">
        <v>70</v>
      </c>
      <c r="J36" s="224"/>
      <c r="K36" s="194" t="s">
        <v>83</v>
      </c>
      <c r="L36" s="224"/>
    </row>
    <row r="37" spans="1:12" ht="13.5" thickTop="1" x14ac:dyDescent="0.2">
      <c r="A37" s="175"/>
      <c r="B37" s="201" t="s">
        <v>6</v>
      </c>
      <c r="C37" s="218" t="str">
        <f>IF(B37=0,"",VLOOKUP($B37,Materials!$B$2:$H$127,2,FALSE))</f>
        <v>Fertilizer</v>
      </c>
      <c r="D37" s="218"/>
      <c r="E37" s="218"/>
      <c r="F37" s="203">
        <v>1</v>
      </c>
      <c r="G37" s="205">
        <v>1</v>
      </c>
      <c r="H37" s="206">
        <v>8</v>
      </c>
      <c r="I37" s="153" t="str">
        <f>IF($B37=0,"",VLOOKUP($B37,Materials!$B$2:$H$127,5,FALSE))</f>
        <v>gallon</v>
      </c>
      <c r="J37" s="142">
        <f>IF($B37=0,"",VLOOKUP($B37,Materials!$B$2:$H$127,7,FALSE))</f>
        <v>2.8</v>
      </c>
      <c r="K37" s="150">
        <f>IF(B37=0,0,ROUND(G37*H37*J37,2))</f>
        <v>22.4</v>
      </c>
      <c r="L37" s="143"/>
    </row>
    <row r="38" spans="1:12" x14ac:dyDescent="0.2">
      <c r="A38" s="175"/>
      <c r="B38" s="201" t="s">
        <v>574</v>
      </c>
      <c r="C38" s="218" t="str">
        <f>IF(B38=0,"",VLOOKUP($B38,Materials!$B$2:$H$127,2,FALSE))</f>
        <v>Seed</v>
      </c>
      <c r="D38" s="218"/>
      <c r="E38" s="218"/>
      <c r="F38" s="203">
        <v>1</v>
      </c>
      <c r="G38" s="205">
        <v>1</v>
      </c>
      <c r="H38" s="206">
        <v>120</v>
      </c>
      <c r="I38" s="153" t="str">
        <f>IF($B38=0,"",VLOOKUP($B38,Materials!$B$2:$H$127,5,FALSE))</f>
        <v>pound</v>
      </c>
      <c r="J38" s="142">
        <f>IF($B38=0,"",VLOOKUP($B38,Materials!$B$2:$H$127,7,FALSE))</f>
        <v>0.31</v>
      </c>
      <c r="K38" s="150">
        <f t="shared" ref="K38:K55" si="2">IF(B38=0,0,ROUND(G38*H38*J38,2))</f>
        <v>37.200000000000003</v>
      </c>
      <c r="L38" s="143"/>
    </row>
    <row r="39" spans="1:12" x14ac:dyDescent="0.2">
      <c r="A39" s="175"/>
      <c r="B39" s="201" t="s">
        <v>13</v>
      </c>
      <c r="C39" s="218" t="str">
        <f>IF(B39=0,"",VLOOKUP($B39,Materials!$B$2:$H$127,2,FALSE))</f>
        <v>Fertilizer</v>
      </c>
      <c r="D39" s="218"/>
      <c r="E39" s="218"/>
      <c r="F39" s="203">
        <v>2</v>
      </c>
      <c r="G39" s="205">
        <v>1</v>
      </c>
      <c r="H39" s="206">
        <v>120</v>
      </c>
      <c r="I39" s="153" t="str">
        <f>IF($B39=0,"",VLOOKUP($B39,Materials!$B$2:$H$127,5,FALSE))</f>
        <v>lbs N</v>
      </c>
      <c r="J39" s="142">
        <f>IF($B39=0,"",VLOOKUP($B39,Materials!$B$2:$H$127,7,FALSE))</f>
        <v>0.46666666666666662</v>
      </c>
      <c r="K39" s="150">
        <f t="shared" si="2"/>
        <v>56</v>
      </c>
      <c r="L39" s="143"/>
    </row>
    <row r="40" spans="1:12" x14ac:dyDescent="0.2">
      <c r="A40" s="175"/>
      <c r="B40" s="201" t="s">
        <v>12</v>
      </c>
      <c r="C40" s="218" t="str">
        <f>IF(B40=0,"",VLOOKUP($B40,Materials!$B$2:$H$127,2,FALSE))</f>
        <v>Herbicide</v>
      </c>
      <c r="D40" s="218"/>
      <c r="E40" s="218"/>
      <c r="F40" s="203">
        <v>3</v>
      </c>
      <c r="G40" s="205">
        <v>1</v>
      </c>
      <c r="H40" s="206">
        <v>0.5</v>
      </c>
      <c r="I40" s="153" t="str">
        <f>IF($B40=0,"",VLOOKUP($B40,Materials!$B$2:$H$127,5,FALSE))</f>
        <v>pint</v>
      </c>
      <c r="J40" s="142">
        <f>IF($B40=0,"",VLOOKUP($B40,Materials!$B$2:$H$127,7,FALSE))</f>
        <v>2.5625</v>
      </c>
      <c r="K40" s="150">
        <f t="shared" si="2"/>
        <v>1.28</v>
      </c>
      <c r="L40" s="143"/>
    </row>
    <row r="41" spans="1:12" x14ac:dyDescent="0.2">
      <c r="A41" s="175"/>
      <c r="B41" s="201" t="s">
        <v>432</v>
      </c>
      <c r="C41" s="218" t="str">
        <f>IF(B41=0,"",VLOOKUP($B41,Materials!$B$2:$H$127,2,FALSE))</f>
        <v>Herbicide</v>
      </c>
      <c r="D41" s="218"/>
      <c r="E41" s="218"/>
      <c r="F41" s="203">
        <v>3</v>
      </c>
      <c r="G41" s="205">
        <v>1</v>
      </c>
      <c r="H41" s="206">
        <v>0.3</v>
      </c>
      <c r="I41" s="153" t="str">
        <f>IF($B41=0,"",VLOOKUP($B41,Materials!$B$2:$H$127,5,FALSE))</f>
        <v>ounce</v>
      </c>
      <c r="J41" s="142">
        <f>IF($B41=0,"",VLOOKUP($B41,Materials!$B$2:$H$127,7,FALSE))</f>
        <v>9</v>
      </c>
      <c r="K41" s="150">
        <f t="shared" si="2"/>
        <v>2.7</v>
      </c>
      <c r="L41" s="143"/>
    </row>
    <row r="42" spans="1:12" x14ac:dyDescent="0.2">
      <c r="A42" s="175"/>
      <c r="B42" s="201" t="s">
        <v>41</v>
      </c>
      <c r="C42" s="218" t="str">
        <f>IF(B42=0,"",VLOOKUP($B42,Materials!$B$2:$H$127,2,FALSE))</f>
        <v>Additive</v>
      </c>
      <c r="D42" s="218"/>
      <c r="E42" s="218"/>
      <c r="F42" s="203">
        <v>3</v>
      </c>
      <c r="G42" s="205">
        <v>1</v>
      </c>
      <c r="H42" s="206">
        <v>6</v>
      </c>
      <c r="I42" s="153" t="str">
        <f>IF($B42=0,"",VLOOKUP($B42,Materials!$B$2:$H$127,5,FALSE))</f>
        <v>ounce</v>
      </c>
      <c r="J42" s="142">
        <f>IF($B42=0,"",VLOOKUP($B42,Materials!$B$2:$H$127,7,FALSE))</f>
        <v>0.171875</v>
      </c>
      <c r="K42" s="150">
        <f t="shared" si="2"/>
        <v>1.03</v>
      </c>
      <c r="L42" s="143"/>
    </row>
    <row r="43" spans="1:12" x14ac:dyDescent="0.2">
      <c r="A43" s="162" t="s">
        <v>381</v>
      </c>
      <c r="B43" s="201" t="s">
        <v>17</v>
      </c>
      <c r="C43" s="218" t="str">
        <f>IF(B43=0,"",VLOOKUP($B43,Materials!$B$2:$H$127,2,FALSE))</f>
        <v>Custom</v>
      </c>
      <c r="D43" s="218"/>
      <c r="E43" s="218"/>
      <c r="F43" s="203">
        <v>4</v>
      </c>
      <c r="G43" s="205">
        <v>1</v>
      </c>
      <c r="H43" s="206">
        <v>1</v>
      </c>
      <c r="I43" s="153" t="str">
        <f>IF($B43=0,"",VLOOKUP($B43,Materials!$B$2:$H$127,5,FALSE))</f>
        <v>acre</v>
      </c>
      <c r="J43" s="142">
        <f>IF($B43=0,"",VLOOKUP($B43,Materials!$B$2:$H$127,7,FALSE))</f>
        <v>9.5</v>
      </c>
      <c r="K43" s="150">
        <f t="shared" si="2"/>
        <v>9.5</v>
      </c>
      <c r="L43" s="143"/>
    </row>
    <row r="44" spans="1:12" x14ac:dyDescent="0.2">
      <c r="A44" s="162" t="s">
        <v>381</v>
      </c>
      <c r="B44" s="201" t="s">
        <v>54</v>
      </c>
      <c r="C44" s="218" t="str">
        <f>IF(B44=0,"",VLOOKUP($B44,Materials!$B$2:$H$127,2,FALSE))</f>
        <v>Fungicide</v>
      </c>
      <c r="D44" s="218"/>
      <c r="E44" s="218"/>
      <c r="F44" s="203">
        <v>4</v>
      </c>
      <c r="G44" s="205">
        <v>1</v>
      </c>
      <c r="H44" s="206">
        <v>4</v>
      </c>
      <c r="I44" s="153" t="str">
        <f>IF($B44=0,"",VLOOKUP($B44,Materials!$B$2:$H$127,5,FALSE))</f>
        <v>ounce</v>
      </c>
      <c r="J44" s="142">
        <f>IF($B44=0,"",VLOOKUP($B44,Materials!$B$2:$H$127,7,FALSE))</f>
        <v>0.8203125</v>
      </c>
      <c r="K44" s="150">
        <f t="shared" si="2"/>
        <v>3.28</v>
      </c>
      <c r="L44" s="143"/>
    </row>
    <row r="45" spans="1:12" x14ac:dyDescent="0.2">
      <c r="A45" s="162" t="s">
        <v>382</v>
      </c>
      <c r="B45" s="201" t="s">
        <v>17</v>
      </c>
      <c r="C45" s="218" t="str">
        <f>IF(B45=0,"",VLOOKUP($B45,Materials!$B$2:$H$127,2,FALSE))</f>
        <v>Custom</v>
      </c>
      <c r="D45" s="218"/>
      <c r="E45" s="218"/>
      <c r="F45" s="203">
        <v>5</v>
      </c>
      <c r="G45" s="205">
        <v>0.15</v>
      </c>
      <c r="H45" s="206">
        <v>1</v>
      </c>
      <c r="I45" s="153" t="str">
        <f>IF($B45=0,"",VLOOKUP($B45,Materials!$B$2:$H$127,5,FALSE))</f>
        <v>acre</v>
      </c>
      <c r="J45" s="142">
        <f>IF($B45=0,"",VLOOKUP($B45,Materials!$B$2:$H$127,7,FALSE))</f>
        <v>9.5</v>
      </c>
      <c r="K45" s="150">
        <f t="shared" si="2"/>
        <v>1.43</v>
      </c>
      <c r="L45" s="143"/>
    </row>
    <row r="46" spans="1:12" x14ac:dyDescent="0.2">
      <c r="A46" s="162" t="s">
        <v>382</v>
      </c>
      <c r="B46" s="201" t="s">
        <v>533</v>
      </c>
      <c r="C46" s="218" t="str">
        <f>IF(B46=0,"",VLOOKUP($B46,Materials!$B$2:$H$127,2,FALSE))</f>
        <v>Insecticide</v>
      </c>
      <c r="D46" s="218"/>
      <c r="E46" s="218"/>
      <c r="F46" s="203">
        <v>5</v>
      </c>
      <c r="G46" s="205">
        <v>0.1</v>
      </c>
      <c r="H46" s="206">
        <v>1</v>
      </c>
      <c r="I46" s="153" t="str">
        <f>IF($B46=0,"",VLOOKUP($B46,Materials!$B$2:$H$127,5,FALSE))</f>
        <v>pint</v>
      </c>
      <c r="J46" s="142">
        <f>IF($B46=0,"",VLOOKUP($B46,Materials!$B$2:$H$127,7,FALSE))</f>
        <v>6.875</v>
      </c>
      <c r="K46" s="150">
        <f t="shared" si="2"/>
        <v>0.69</v>
      </c>
      <c r="L46" s="143"/>
    </row>
    <row r="47" spans="1:12" x14ac:dyDescent="0.2">
      <c r="A47" s="162" t="s">
        <v>382</v>
      </c>
      <c r="B47" s="201" t="s">
        <v>384</v>
      </c>
      <c r="C47" s="218" t="str">
        <f>IF(B47=0,"",VLOOKUP($B47,Materials!$B$2:$H$127,2,FALSE))</f>
        <v>Insecticide</v>
      </c>
      <c r="D47" s="218"/>
      <c r="E47" s="218"/>
      <c r="F47" s="203">
        <v>5</v>
      </c>
      <c r="G47" s="205">
        <v>0.05</v>
      </c>
      <c r="H47" s="206">
        <v>1.92</v>
      </c>
      <c r="I47" s="153" t="str">
        <f>IF($B47=0,"",VLOOKUP($B47,Materials!$B$2:$H$127,5,FALSE))</f>
        <v>ounce</v>
      </c>
      <c r="J47" s="142">
        <f>IF($B47=0,"",VLOOKUP($B47,Materials!$B$2:$H$127,7,FALSE))</f>
        <v>2.96875</v>
      </c>
      <c r="K47" s="150">
        <f t="shared" si="2"/>
        <v>0.28999999999999998</v>
      </c>
      <c r="L47" s="143"/>
    </row>
    <row r="48" spans="1:12" x14ac:dyDescent="0.2">
      <c r="A48" s="175"/>
      <c r="B48" s="201" t="s">
        <v>586</v>
      </c>
      <c r="C48" s="218" t="str">
        <f>IF(B48=0,"",VLOOKUP($B48,Materials!$B$2:$H$127,2,FALSE))</f>
        <v>Custom</v>
      </c>
      <c r="D48" s="218"/>
      <c r="E48" s="218"/>
      <c r="F48" s="203">
        <v>7</v>
      </c>
      <c r="G48" s="205">
        <v>1</v>
      </c>
      <c r="H48" s="206">
        <f>$A$4</f>
        <v>90</v>
      </c>
      <c r="I48" s="153" t="str">
        <f>IF($B48=0,"",VLOOKUP($B48,Materials!$B$2:$H$127,5,FALSE))</f>
        <v>bushel</v>
      </c>
      <c r="J48" s="142">
        <f>IF($B48=0,"",VLOOKUP($B48,Materials!$B$2:$H$127,7,FALSE))</f>
        <v>0.11</v>
      </c>
      <c r="K48" s="150">
        <f t="shared" si="2"/>
        <v>9.9</v>
      </c>
      <c r="L48" s="143"/>
    </row>
    <row r="49" spans="1:12" x14ac:dyDescent="0.2">
      <c r="A49" s="175"/>
      <c r="B49" s="201" t="s">
        <v>539</v>
      </c>
      <c r="C49" s="218" t="str">
        <f>IF(B49=0,"",VLOOKUP($B49,Materials!$B$2:$H$127,2,FALSE))</f>
        <v>Scouting</v>
      </c>
      <c r="D49" s="218"/>
      <c r="E49" s="218"/>
      <c r="F49" s="203"/>
      <c r="G49" s="205">
        <v>1</v>
      </c>
      <c r="H49" s="206">
        <v>1</v>
      </c>
      <c r="I49" s="153" t="str">
        <f>IF($B49=0,"",VLOOKUP($B49,Materials!$B$2:$H$127,5,FALSE))</f>
        <v>acre</v>
      </c>
      <c r="J49" s="142">
        <f>IF($B49=0,"",VLOOKUP($B49,Materials!$B$2:$H$127,7,FALSE))</f>
        <v>5</v>
      </c>
      <c r="K49" s="150">
        <f t="shared" si="2"/>
        <v>5</v>
      </c>
      <c r="L49" s="143"/>
    </row>
    <row r="50" spans="1:12" hidden="1" x14ac:dyDescent="0.2">
      <c r="B50" s="202"/>
      <c r="C50" s="218" t="str">
        <f>IF(B50=0,"",VLOOKUP($B50,Materials!$B$2:$H$127,2,FALSE))</f>
        <v/>
      </c>
      <c r="D50" s="218"/>
      <c r="E50" s="218"/>
      <c r="F50" s="204"/>
      <c r="G50" s="205"/>
      <c r="H50" s="208"/>
      <c r="I50" s="153" t="str">
        <f>IF($B50=0,"",VLOOKUP($B50,Materials!$B$2:$H$127,5,FALSE))</f>
        <v/>
      </c>
      <c r="J50" s="142" t="str">
        <f>IF($B50=0,"",VLOOKUP($B50,Materials!$B$2:$H$127,7,FALSE))</f>
        <v/>
      </c>
      <c r="K50" s="150">
        <f t="shared" si="2"/>
        <v>0</v>
      </c>
      <c r="L50" s="143"/>
    </row>
    <row r="51" spans="1:12" hidden="1" x14ac:dyDescent="0.2">
      <c r="B51" s="202"/>
      <c r="C51" s="218" t="str">
        <f>IF(B51=0,"",VLOOKUP($B51,Materials!$B$2:$H$127,2,FALSE))</f>
        <v/>
      </c>
      <c r="D51" s="218"/>
      <c r="E51" s="218"/>
      <c r="F51" s="204"/>
      <c r="G51" s="205"/>
      <c r="H51" s="208"/>
      <c r="I51" s="153" t="str">
        <f>IF($B51=0,"",VLOOKUP($B51,Materials!$B$2:$H$127,5,FALSE))</f>
        <v/>
      </c>
      <c r="J51" s="142" t="str">
        <f>IF($B51=0,"",VLOOKUP($B51,Materials!$B$2:$H$127,7,FALSE))</f>
        <v/>
      </c>
      <c r="K51" s="150">
        <f t="shared" si="2"/>
        <v>0</v>
      </c>
      <c r="L51" s="143"/>
    </row>
    <row r="52" spans="1:12" hidden="1" x14ac:dyDescent="0.2">
      <c r="B52" s="202"/>
      <c r="C52" s="218" t="str">
        <f>IF(B52=0,"",VLOOKUP($B52,Materials!$B$2:$H$127,2,FALSE))</f>
        <v/>
      </c>
      <c r="D52" s="218"/>
      <c r="E52" s="218"/>
      <c r="F52" s="204"/>
      <c r="G52" s="209"/>
      <c r="H52" s="208"/>
      <c r="I52" s="153" t="str">
        <f>IF($B52=0,"",VLOOKUP($B52,Materials!$B$2:$H$127,5,FALSE))</f>
        <v/>
      </c>
      <c r="J52" s="142" t="str">
        <f>IF($B52=0,"",VLOOKUP($B52,Materials!$B$2:$H$127,7,FALSE))</f>
        <v/>
      </c>
      <c r="K52" s="150">
        <f t="shared" si="2"/>
        <v>0</v>
      </c>
      <c r="L52" s="143"/>
    </row>
    <row r="53" spans="1:12" hidden="1" x14ac:dyDescent="0.2">
      <c r="B53" s="202"/>
      <c r="C53" s="218" t="str">
        <f>IF(B53=0,"",VLOOKUP($B53,Materials!$B$2:$H$127,2,FALSE))</f>
        <v/>
      </c>
      <c r="D53" s="218"/>
      <c r="E53" s="218"/>
      <c r="F53" s="204"/>
      <c r="G53" s="209"/>
      <c r="H53" s="208"/>
      <c r="I53" s="153" t="str">
        <f>IF($B53=0,"",VLOOKUP($B53,Materials!$B$2:$H$127,5,FALSE))</f>
        <v/>
      </c>
      <c r="J53" s="142" t="str">
        <f>IF($B53=0,"",VLOOKUP($B53,Materials!$B$2:$H$127,7,FALSE))</f>
        <v/>
      </c>
      <c r="K53" s="150">
        <f t="shared" si="2"/>
        <v>0</v>
      </c>
      <c r="L53" s="143"/>
    </row>
    <row r="54" spans="1:12" hidden="1" x14ac:dyDescent="0.2">
      <c r="B54" s="202"/>
      <c r="C54" s="218" t="str">
        <f>IF(B54=0,"",VLOOKUP($B54,Materials!$B$2:$H$127,2,FALSE))</f>
        <v/>
      </c>
      <c r="D54" s="218"/>
      <c r="E54" s="218"/>
      <c r="F54" s="204"/>
      <c r="G54" s="209"/>
      <c r="H54" s="208"/>
      <c r="I54" s="153" t="str">
        <f>IF($B54=0,"",VLOOKUP($B54,Materials!$B$2:$H$127,5,FALSE))</f>
        <v/>
      </c>
      <c r="J54" s="142" t="str">
        <f>IF($B54=0,"",VLOOKUP($B54,Materials!$B$2:$H$127,7,FALSE))</f>
        <v/>
      </c>
      <c r="K54" s="150">
        <f t="shared" si="2"/>
        <v>0</v>
      </c>
      <c r="L54" s="143"/>
    </row>
    <row r="55" spans="1:12" hidden="1" x14ac:dyDescent="0.2">
      <c r="B55" s="202"/>
      <c r="C55" s="218" t="str">
        <f>IF(B55=0,"",VLOOKUP($B55,Materials!$B$2:$H$127,2,FALSE))</f>
        <v/>
      </c>
      <c r="D55" s="218"/>
      <c r="E55" s="218"/>
      <c r="F55" s="204"/>
      <c r="G55" s="209"/>
      <c r="H55" s="208"/>
      <c r="I55" s="153" t="str">
        <f>IF($B55=0,"",VLOOKUP($B55,Materials!$B$2:$H$127,5,FALSE))</f>
        <v/>
      </c>
      <c r="J55" s="142" t="str">
        <f>IF($B55=0,"",VLOOKUP($B55,Materials!$B$2:$H$127,7,FALSE))</f>
        <v/>
      </c>
      <c r="K55" s="150">
        <f t="shared" si="2"/>
        <v>0</v>
      </c>
      <c r="L55" s="145"/>
    </row>
    <row r="56" spans="1:12" hidden="1" x14ac:dyDescent="0.2">
      <c r="B56" s="202"/>
      <c r="C56" s="218" t="str">
        <f>IF(B56=0,"",VLOOKUP($B56,Materials!$B$2:$H$127,2,FALSE))</f>
        <v/>
      </c>
      <c r="D56" s="218"/>
      <c r="E56" s="218"/>
      <c r="F56" s="204"/>
      <c r="G56" s="209"/>
      <c r="H56" s="208"/>
      <c r="I56" s="153" t="str">
        <f>IF($B56=0,"",VLOOKUP($B56,Materials!$B$2:$H$127,5,FALSE))</f>
        <v/>
      </c>
      <c r="J56" s="142" t="str">
        <f>IF($B56=0,"",VLOOKUP($B56,Materials!$B$2:$H$127,7,FALSE))</f>
        <v/>
      </c>
      <c r="K56" s="150">
        <f>IF(B56=0,0,ROUND(G56*H56*J56,2))</f>
        <v>0</v>
      </c>
      <c r="L56" s="145"/>
    </row>
    <row r="57" spans="1:12" hidden="1" x14ac:dyDescent="0.2">
      <c r="B57" s="202"/>
      <c r="C57" s="218" t="str">
        <f>IF(B57=0,"",VLOOKUP($B57,Materials!$B$2:$H$127,2,FALSE))</f>
        <v/>
      </c>
      <c r="D57" s="218"/>
      <c r="E57" s="218"/>
      <c r="F57" s="204"/>
      <c r="G57" s="209"/>
      <c r="H57" s="208"/>
      <c r="I57" s="153" t="str">
        <f>IF($B57=0,"",VLOOKUP($B57,Materials!$B$2:$H$127,5,FALSE))</f>
        <v/>
      </c>
      <c r="J57" s="142" t="str">
        <f>IF($B57=0,"",VLOOKUP($B57,Materials!$B$2:$H$127,7,FALSE))</f>
        <v/>
      </c>
      <c r="K57" s="150">
        <f>IF(B57=0,0,ROUND(G57*H57*J57,2))</f>
        <v>0</v>
      </c>
      <c r="L57" s="145"/>
    </row>
    <row r="58" spans="1:12" hidden="1" x14ac:dyDescent="0.2">
      <c r="B58" s="202"/>
      <c r="C58" s="218" t="str">
        <f>IF(B58=0,"",VLOOKUP($B58,Materials!$B$2:$H$127,2,FALSE))</f>
        <v/>
      </c>
      <c r="D58" s="218"/>
      <c r="E58" s="218"/>
      <c r="F58" s="204"/>
      <c r="G58" s="209"/>
      <c r="H58" s="208"/>
      <c r="I58" s="153" t="str">
        <f>IF($B58=0,"",VLOOKUP($B58,Materials!$B$2:$H$127,5,FALSE))</f>
        <v/>
      </c>
      <c r="J58" s="142" t="str">
        <f>IF($B58=0,"",VLOOKUP($B58,Materials!$B$2:$H$127,7,FALSE))</f>
        <v/>
      </c>
      <c r="K58" s="150">
        <f>IF(B58=0,0,ROUND(G58*H58*J58,2))</f>
        <v>0</v>
      </c>
      <c r="L58" s="145"/>
    </row>
    <row r="59" spans="1:12" hidden="1" x14ac:dyDescent="0.2">
      <c r="B59" s="202"/>
      <c r="C59" s="218" t="str">
        <f>IF(B59=0,"",VLOOKUP($B59,Materials!$B$2:$H$127,2,FALSE))</f>
        <v/>
      </c>
      <c r="D59" s="218"/>
      <c r="E59" s="218"/>
      <c r="F59" s="204"/>
      <c r="G59" s="209"/>
      <c r="H59" s="208"/>
      <c r="I59" s="153" t="str">
        <f>IF($B59=0,"",VLOOKUP($B59,Materials!$B$2:$H$127,5,FALSE))</f>
        <v/>
      </c>
      <c r="J59" s="142" t="str">
        <f>IF($B59=0,"",VLOOKUP($B59,Materials!$B$2:$H$127,7,FALSE))</f>
        <v/>
      </c>
      <c r="K59" s="150">
        <f>IF(B59=0,0,ROUND(G59*H59*J59,2))</f>
        <v>0</v>
      </c>
      <c r="L59" s="145"/>
    </row>
    <row r="60" spans="1:12" hidden="1" x14ac:dyDescent="0.2">
      <c r="B60" s="202"/>
      <c r="C60" s="218" t="str">
        <f>IF(B60=0,"",VLOOKUP($B60,Materials!$B$2:$H$127,2,FALSE))</f>
        <v/>
      </c>
      <c r="D60" s="218"/>
      <c r="E60" s="218"/>
      <c r="F60" s="204"/>
      <c r="G60" s="209"/>
      <c r="H60" s="208"/>
      <c r="I60" s="153" t="str">
        <f>IF($B60=0,"",VLOOKUP($B60,Materials!$B$2:$H$127,5,FALSE))</f>
        <v/>
      </c>
      <c r="J60" s="142" t="str">
        <f>IF($B60=0,"",VLOOKUP($B60,Materials!$B$2:$H$127,7,FALSE))</f>
        <v/>
      </c>
      <c r="K60" s="150">
        <f>IF(B60=0,0,ROUND(G60*H60*J60,2))</f>
        <v>0</v>
      </c>
      <c r="L60" s="145"/>
    </row>
    <row r="61" spans="1:12" x14ac:dyDescent="0.2">
      <c r="B61" s="202" t="s">
        <v>452</v>
      </c>
      <c r="C61" s="218" t="str">
        <f>IF(B61=0,0,"Crop Insurance")</f>
        <v>Crop Insurance</v>
      </c>
      <c r="D61" s="218"/>
      <c r="E61" s="218"/>
      <c r="F61" s="144"/>
      <c r="G61" s="199"/>
      <c r="H61" s="200"/>
      <c r="I61" s="192"/>
      <c r="J61" s="142">
        <v>10.78</v>
      </c>
      <c r="K61" s="142">
        <f>IF(B61=0,0,J61)</f>
        <v>10.78</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61">
        <f>SUM(K37:K61)</f>
        <v>161.48000000000002</v>
      </c>
      <c r="L63" s="143"/>
    </row>
    <row r="64" spans="1:12" ht="24" customHeight="1" x14ac:dyDescent="0.2">
      <c r="B64" s="233" t="s">
        <v>598</v>
      </c>
      <c r="C64" s="233"/>
      <c r="K64" s="161"/>
    </row>
    <row r="65" spans="2:12" x14ac:dyDescent="0.2">
      <c r="B65" s="140" t="s">
        <v>562</v>
      </c>
      <c r="K65" s="161">
        <f>K33+K63</f>
        <v>254.49</v>
      </c>
      <c r="L65" s="143"/>
    </row>
    <row r="66" spans="2:12" ht="13.5" thickBot="1" x14ac:dyDescent="0.25">
      <c r="D66" s="162" t="s">
        <v>580</v>
      </c>
      <c r="E66" s="163">
        <f>ROUND(SUM($E$33:$H$33)+$K$63,2)</f>
        <v>229.09</v>
      </c>
      <c r="F66" s="220" t="s">
        <v>360</v>
      </c>
      <c r="G66" s="220"/>
      <c r="H66" s="164">
        <f>'General Variables'!$B$11</f>
        <v>5.5E-2</v>
      </c>
      <c r="I66" s="165" t="str">
        <f>CONCATENATE("for ",TEXT('General Variables'!$B$12,"0.0")," mo.")</f>
        <v>for 6.0 mo.</v>
      </c>
      <c r="K66" s="166">
        <f>E66*H66*'General Variables'!$B$12/12</f>
        <v>6.2999749999999999</v>
      </c>
      <c r="L66" s="167"/>
    </row>
    <row r="67" spans="2:12" ht="13.5" thickTop="1" x14ac:dyDescent="0.2">
      <c r="B67" s="140" t="s">
        <v>364</v>
      </c>
      <c r="K67" s="161">
        <f>SUM(K65:K66)</f>
        <v>260.78997500000003</v>
      </c>
      <c r="L67" s="143"/>
    </row>
    <row r="68" spans="2:12" x14ac:dyDescent="0.2">
      <c r="K68" s="161"/>
    </row>
    <row r="69" spans="2:12" x14ac:dyDescent="0.2">
      <c r="B69" s="168" t="s">
        <v>596</v>
      </c>
      <c r="C69" s="169"/>
      <c r="D69" s="169"/>
      <c r="E69" s="169"/>
      <c r="F69" s="169"/>
      <c r="G69" s="169"/>
      <c r="H69" s="169"/>
      <c r="I69" s="169"/>
      <c r="J69" s="169"/>
      <c r="K69" s="170">
        <f>'General Variables'!B14</f>
        <v>20</v>
      </c>
      <c r="L69" s="143"/>
    </row>
    <row r="70" spans="2:12" x14ac:dyDescent="0.2">
      <c r="B70" s="129" t="s">
        <v>367</v>
      </c>
      <c r="C70" s="221" t="s">
        <v>372</v>
      </c>
      <c r="D70" s="222"/>
      <c r="E70" s="223"/>
      <c r="F70" s="171">
        <f>IF(C70=0,0,VLOOKUP(C70,RETable,2,FALSE))</f>
        <v>3625</v>
      </c>
      <c r="G70" s="220" t="s">
        <v>368</v>
      </c>
      <c r="H70" s="220"/>
      <c r="I70" s="164">
        <f>'General Variables'!$B$10</f>
        <v>0.04</v>
      </c>
      <c r="K70" s="172">
        <f>ROUND(F70*I70,2)</f>
        <v>145</v>
      </c>
      <c r="L70" s="143"/>
    </row>
    <row r="71" spans="2:12" ht="13.5" thickBot="1" x14ac:dyDescent="0.25">
      <c r="B71" s="129" t="s">
        <v>376</v>
      </c>
      <c r="F71" s="173">
        <f>IF(C70=0,0,VLOOKUP(C70,RETable,2,FALSE))</f>
        <v>3625</v>
      </c>
      <c r="G71" s="219" t="s">
        <v>368</v>
      </c>
      <c r="H71" s="219"/>
      <c r="I71" s="174">
        <f>'General Variables'!$B$13</f>
        <v>0.01</v>
      </c>
      <c r="J71" s="175"/>
      <c r="K71" s="176">
        <f>ROUND(F71*I71,2)</f>
        <v>36.25</v>
      </c>
      <c r="L71" s="167"/>
    </row>
    <row r="72" spans="2:12" ht="13.5" thickTop="1" x14ac:dyDescent="0.2">
      <c r="B72" s="140" t="s">
        <v>383</v>
      </c>
      <c r="K72" s="161">
        <f>SUM(K67:K71)</f>
        <v>462.03997500000003</v>
      </c>
      <c r="L72" s="143"/>
    </row>
    <row r="73" spans="2:12" x14ac:dyDescent="0.2">
      <c r="K73" s="162"/>
    </row>
    <row r="74" spans="2:12" x14ac:dyDescent="0.2">
      <c r="B74" s="140" t="str">
        <f>"Cost per "&amp;$B$4</f>
        <v>Cost per bu</v>
      </c>
      <c r="K74" s="177">
        <f>IF(A4="Yield",0,K72/$A$4)</f>
        <v>5.1337774999999999</v>
      </c>
      <c r="L74" s="143"/>
    </row>
    <row r="75" spans="2:12" x14ac:dyDescent="0.2">
      <c r="B75" s="178" t="str">
        <f>"Cash Cost per "&amp;$B$4</f>
        <v>Cash Cost per bu</v>
      </c>
      <c r="C75" s="175"/>
      <c r="D75" s="175"/>
      <c r="E75" s="175"/>
      <c r="F75" s="175"/>
      <c r="G75" s="175"/>
      <c r="H75" s="175"/>
      <c r="I75" s="175"/>
      <c r="J75" s="175"/>
      <c r="K75" s="179">
        <f>IF($A$4="Yield",0,(E66+K66+K71)/$A$4)</f>
        <v>3.0182219444444445</v>
      </c>
      <c r="L75" s="186"/>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506</v>
      </c>
    </row>
    <row r="112" spans="2:11" x14ac:dyDescent="0.2">
      <c r="B112" s="175"/>
      <c r="C112" s="175"/>
      <c r="D112" s="175"/>
      <c r="H112" s="129" t="str">
        <f>'General Variables'!A20</f>
        <v>Corn Irrigated</v>
      </c>
      <c r="K112" s="129" t="s">
        <v>507</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5">
    <mergeCell ref="B64:C6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6">
    <pageSetUpPr fitToPage="1"/>
  </sheetPr>
  <dimension ref="A2:O255"/>
  <sheetViews>
    <sheetView topLeftCell="A32"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7" t="str">
        <f ca="1">REPLACE(CELL("filename",A1),1,FIND("]",CELL("filename",A1)),"")</f>
        <v>71-Wheat</v>
      </c>
      <c r="B2" s="138"/>
      <c r="C2" s="136" t="s">
        <v>493</v>
      </c>
      <c r="D2" s="136"/>
      <c r="E2" s="138"/>
      <c r="I2" s="185" t="s">
        <v>502</v>
      </c>
      <c r="J2" s="178" t="s">
        <v>503</v>
      </c>
      <c r="L2" s="134" t="str">
        <f>'General Variables'!A3&amp;" "&amp;'General Variables'!B3</f>
        <v>Year 2016</v>
      </c>
      <c r="O2" s="135" t="s">
        <v>407</v>
      </c>
    </row>
    <row r="3" spans="1:15" hidden="1" x14ac:dyDescent="0.2">
      <c r="A3" s="137" t="s">
        <v>560</v>
      </c>
      <c r="B3" s="138"/>
      <c r="C3" s="136"/>
      <c r="D3" s="136"/>
      <c r="E3" s="138"/>
      <c r="G3" s="136"/>
      <c r="H3" s="129">
        <v>6</v>
      </c>
      <c r="I3" s="138" t="s">
        <v>540</v>
      </c>
      <c r="O3" s="135" t="s">
        <v>406</v>
      </c>
    </row>
    <row r="4" spans="1:15" hidden="1" x14ac:dyDescent="0.2">
      <c r="A4" s="137">
        <v>85</v>
      </c>
      <c r="B4" s="137" t="s">
        <v>490</v>
      </c>
      <c r="C4" s="136"/>
      <c r="D4" s="136"/>
      <c r="E4" s="138"/>
      <c r="F4" s="138"/>
      <c r="G4" s="138"/>
      <c r="H4" s="138"/>
      <c r="I4" s="138"/>
      <c r="J4" s="139" t="s">
        <v>505</v>
      </c>
      <c r="K4" s="140"/>
      <c r="O4" s="135" t="str">
        <f>B4</f>
        <v>Bu</v>
      </c>
    </row>
    <row r="5" spans="1:15" ht="15.75" hidden="1" x14ac:dyDescent="0.25">
      <c r="A5" s="217" t="str">
        <f ca="1" xml:space="preserve"> A2  &amp; IF(C2="","",  ", " &amp;C2 ) &amp; ", " &amp; A3 &amp; ", " &amp; I2</f>
        <v>71-Wheat, No-Till, in Rotation, Pivot Irrigated</v>
      </c>
      <c r="B5" s="217"/>
      <c r="C5" s="217"/>
      <c r="D5" s="217"/>
      <c r="E5" s="217"/>
      <c r="F5" s="217"/>
      <c r="G5" s="217"/>
      <c r="H5" s="217"/>
      <c r="I5" s="217"/>
      <c r="J5" s="217"/>
      <c r="K5" s="217"/>
      <c r="L5" s="217"/>
      <c r="O5" s="135"/>
    </row>
    <row r="6" spans="1:15" ht="15.75" hidden="1" x14ac:dyDescent="0.25">
      <c r="A6" s="191"/>
      <c r="B6" s="191"/>
      <c r="C6" s="191"/>
      <c r="D6" s="191"/>
      <c r="E6" s="191"/>
      <c r="F6" s="191"/>
      <c r="G6" s="191"/>
      <c r="H6" s="191"/>
      <c r="I6" s="191"/>
      <c r="J6" s="191"/>
      <c r="K6" s="191"/>
      <c r="L6" s="191"/>
      <c r="O6" s="135"/>
    </row>
    <row r="7" spans="1:15" ht="30" customHeight="1" x14ac:dyDescent="0.25">
      <c r="A7" s="217" t="str">
        <f ca="1">'General Variables'!B3 &amp; " Budget "  &amp; A2 &amp;", "  &amp; IF(C2=0,"", " " &amp; C2 &amp; ", ") &amp;  A3 &amp; IF(A4=""," ", " (") &amp; A4 &amp; " " &amp; B4 &amp; IF(A4="",""," Actual Yield)")</f>
        <v>2016 Budget 71-Wheat,  No-Till, in Rotation (85 Bu Actual Yield)</v>
      </c>
      <c r="B7" s="217"/>
      <c r="C7" s="217"/>
      <c r="D7" s="217"/>
      <c r="E7" s="217"/>
      <c r="F7" s="217"/>
      <c r="G7" s="217"/>
      <c r="H7" s="217"/>
      <c r="I7" s="217"/>
      <c r="J7" s="217"/>
      <c r="K7" s="217"/>
      <c r="L7" s="217"/>
      <c r="O7" s="135"/>
    </row>
    <row r="8" spans="1:15" ht="15.75" x14ac:dyDescent="0.25">
      <c r="A8" s="141" t="str">
        <f>IF(I2="Dryland","Dryland",I2 &amp; IF(J2="","",", "&amp;J2)&amp;IF(H3="","",", "&amp;H3&amp;" "&amp;I3))</f>
        <v>Pivot Irrigated, 800 GPM 35 PSI, 6 acre/inches</v>
      </c>
      <c r="B8" s="137"/>
      <c r="C8" s="136"/>
      <c r="D8" s="136"/>
      <c r="E8" s="138"/>
      <c r="F8" s="138"/>
      <c r="G8" s="138"/>
      <c r="H8" s="138"/>
      <c r="I8" s="138"/>
      <c r="O8" s="135"/>
    </row>
    <row r="10" spans="1:15" s="140" customFormat="1" ht="22.5" customHeight="1" x14ac:dyDescent="0.2">
      <c r="B10" s="226" t="s">
        <v>71</v>
      </c>
      <c r="C10" s="225" t="s">
        <v>1</v>
      </c>
      <c r="D10" s="195"/>
      <c r="E10" s="225" t="str">
        <f>"Labor @ $" &amp;TEXT('General Variables'!B4,"#.00")&amp; " /Hr"</f>
        <v>Labor @ $20.00 /Hr</v>
      </c>
      <c r="F10" s="225" t="str">
        <f>"Fuel @ $" &amp; TEXT('General Variables'!B5,"#.00") &amp; " and Lube"</f>
        <v>Fuel @ $2.25 and Lube</v>
      </c>
      <c r="G10" s="228" t="s">
        <v>72</v>
      </c>
      <c r="H10" s="228"/>
      <c r="I10" s="228" t="s">
        <v>352</v>
      </c>
      <c r="J10" s="228"/>
      <c r="K10" s="228" t="s">
        <v>2</v>
      </c>
      <c r="L10" s="225" t="s">
        <v>359</v>
      </c>
    </row>
    <row r="11" spans="1:15" s="140" customFormat="1" ht="21.75" customHeight="1" thickBot="1" x14ac:dyDescent="0.25">
      <c r="B11" s="227"/>
      <c r="C11" s="224"/>
      <c r="D11" s="194" t="s">
        <v>70</v>
      </c>
      <c r="E11" s="224"/>
      <c r="F11" s="224"/>
      <c r="G11" s="196" t="s">
        <v>73</v>
      </c>
      <c r="H11" s="196" t="s">
        <v>75</v>
      </c>
      <c r="I11" s="196" t="s">
        <v>73</v>
      </c>
      <c r="J11" s="196" t="s">
        <v>75</v>
      </c>
      <c r="K11" s="229"/>
      <c r="L11" s="224"/>
    </row>
    <row r="12" spans="1:15" ht="13.5" thickTop="1" x14ac:dyDescent="0.2">
      <c r="A12" s="193">
        <v>1</v>
      </c>
      <c r="B12" s="201" t="s">
        <v>51</v>
      </c>
      <c r="C12" s="203">
        <v>1</v>
      </c>
      <c r="D12" s="197"/>
      <c r="E12" s="142">
        <f>IF(B12=0,"",IF(C12&gt;9999,"",ROUND('General Variables'!$B$4*VLOOKUP(B12,Operations!$A$2:$U$101,10,FALSE)/VLOOKUP(B12,Operations!$A$2:$U$101,9,FALSE)*C12,2)))</f>
        <v>1</v>
      </c>
      <c r="F12" s="142">
        <f>IF(B12=0,0,IF(C12&gt;9999,"",ROUND(IF(VLOOKUP(B12,Operations!$A$2:$U$101,12,FALSE)=0,VLOOKUP(B12,Operations!$A$2:$U$101,13,FALSE)*'General Variables'!$B$8,VLOOKUP(B12,Operations!$A$2:$U$101,12,FALSE)*'General Variables'!$B$7)/VLOOKUP(B12,Operations!$A$2:$U$101,9,FALSE)*C12,2)))</f>
        <v>0.27</v>
      </c>
      <c r="G12" s="142">
        <f>IF(B12=0,0,IF(C12&gt;9999,"",ROUND(VLOOKUP(VLOOKUP(B12,Operations!$A$2:$U$101,11,FALSE),PowerUnits[],10,FALSE)/VLOOKUP(B12,Operations!$A$2:$U$101,9,FALSE)*C12,2)))</f>
        <v>0.33</v>
      </c>
      <c r="H12" s="142">
        <f>IF(B12=0,"",IF(C12&gt;9999,"",ROUND(VLOOKUP($B12,Operations!$A$2:$U$101,15,FALSE)*C12,2)))</f>
        <v>0.64</v>
      </c>
      <c r="I12" s="142">
        <f>IF(B12=0,0,IF(C12&gt;9999,"",ROUND(VLOOKUP(VLOOKUP(B12,Operations!$A$2:$U$101,11,FALSE),PowerUnits[],16,FALSE)/VLOOKUP(B12,Operations!$A$2:$U$101,9,FALSE)*C12,2)))</f>
        <v>1.1100000000000001</v>
      </c>
      <c r="J12" s="142">
        <f>IF(B12=0,"",IF(C12&gt;9999,"",ROUND(VLOOKUP($B12,Operations!$A$2:$U$101,21,FALSE)*$C12,2)))</f>
        <v>0.88</v>
      </c>
      <c r="K12" s="142">
        <f>IF(C12&gt;9999,"",ROUND(SUM(E12:J12),2))</f>
        <v>4.2300000000000004</v>
      </c>
      <c r="L12" s="143"/>
    </row>
    <row r="13" spans="1:15" x14ac:dyDescent="0.2">
      <c r="A13" s="193">
        <v>2</v>
      </c>
      <c r="B13" s="201" t="s">
        <v>283</v>
      </c>
      <c r="C13" s="203">
        <v>1</v>
      </c>
      <c r="D13" s="197"/>
      <c r="E13" s="142">
        <f>IF(B13=0,"",IF(C13&gt;9999,"",ROUND('General Variables'!$B$4*VLOOKUP(B13,Operations!$A$2:$U$101,10,FALSE)/VLOOKUP(B13,Operations!$A$2:$U$101,9,FALSE)*C13,2)))</f>
        <v>1.83</v>
      </c>
      <c r="F13" s="142">
        <f>IF(B13=0,0,IF(C13&gt;9999,"",ROUND(IF(VLOOKUP(B13,Operations!$A$2:$U$101,12,FALSE)=0,VLOOKUP(B13,Operations!$A$2:$U$101,13,FALSE)*'General Variables'!$B$8,VLOOKUP(B13,Operations!$A$2:$U$101,12,FALSE)*'General Variables'!$B$7)/VLOOKUP(B13,Operations!$A$2:$U$101,9,FALSE)*C13,2)))</f>
        <v>1.31</v>
      </c>
      <c r="G13" s="142">
        <f>IF(B13=0,0,IF(C13&gt;9999,"",ROUND(VLOOKUP(VLOOKUP(B13,Operations!$A$2:$U$101,11,FALSE),PowerUnits[],10,FALSE)/VLOOKUP(B13,Operations!$A$2:$U$101,9,FALSE)*C13,2)))</f>
        <v>0.69</v>
      </c>
      <c r="H13" s="142">
        <f>IF(B13=0,"",IF(C13&gt;9999,"",ROUND(VLOOKUP($B13,Operations!$A$2:$U$101,15,FALSE)*C13,2)))</f>
        <v>1.57</v>
      </c>
      <c r="I13" s="142">
        <f>IF(B13=0,0,IF(C13&gt;9999,"",ROUND(VLOOKUP(VLOOKUP(B13,Operations!$A$2:$U$101,11,FALSE),PowerUnits[],16,FALSE)/VLOOKUP(B13,Operations!$A$2:$U$101,9,FALSE)*C13,2)))</f>
        <v>2.2999999999999998</v>
      </c>
      <c r="J13" s="142">
        <f>IF(B13=0,"",IF(C13&gt;9999,"",ROUND(VLOOKUP($B13,Operations!$A$2:$U$101,21,FALSE)*$C13,2)))</f>
        <v>3.54</v>
      </c>
      <c r="K13" s="142">
        <f t="shared" ref="K13:K31" si="0">IF(C13&gt;9999,"",ROUND(SUM(E13:J13),2))</f>
        <v>11.24</v>
      </c>
      <c r="L13" s="143"/>
    </row>
    <row r="14" spans="1:15" x14ac:dyDescent="0.2">
      <c r="A14" s="193">
        <v>3</v>
      </c>
      <c r="B14" s="201" t="s">
        <v>51</v>
      </c>
      <c r="C14" s="203">
        <v>1</v>
      </c>
      <c r="D14" s="197"/>
      <c r="E14" s="142">
        <f>IF(B14=0,"",IF(C14&gt;9999,"",ROUND('General Variables'!$B$4*VLOOKUP(B14,Operations!$A$2:$U$101,10,FALSE)/VLOOKUP(B14,Operations!$A$2:$U$101,9,FALSE)*C14,2)))</f>
        <v>1</v>
      </c>
      <c r="F14" s="142">
        <f>IF(B14=0,0,IF(C14&gt;9999,"",ROUND(IF(VLOOKUP(B14,Operations!$A$2:$U$101,12,FALSE)=0,VLOOKUP(B14,Operations!$A$2:$U$101,13,FALSE)*'General Variables'!$B$8,VLOOKUP(B14,Operations!$A$2:$U$101,12,FALSE)*'General Variables'!$B$7)/VLOOKUP(B14,Operations!$A$2:$U$101,9,FALSE)*C14,2)))</f>
        <v>0.27</v>
      </c>
      <c r="G14" s="142">
        <f>IF(B14=0,0,IF(C14&gt;9999,"",ROUND(VLOOKUP(VLOOKUP(B14,Operations!$A$2:$U$101,11,FALSE),PowerUnits[],10,FALSE)/VLOOKUP(B14,Operations!$A$2:$U$101,9,FALSE)*C14,2)))</f>
        <v>0.33</v>
      </c>
      <c r="H14" s="142">
        <f>IF(B14=0,"",IF(C14&gt;9999,"",ROUND(VLOOKUP($B14,Operations!$A$2:$U$101,15,FALSE)*C14,2)))</f>
        <v>0.64</v>
      </c>
      <c r="I14" s="142">
        <f>IF(B14=0,0,IF(C14&gt;9999,"",ROUND(VLOOKUP(VLOOKUP(B14,Operations!$A$2:$U$101,11,FALSE),PowerUnits[],16,FALSE)/VLOOKUP(B14,Operations!$A$2:$U$101,9,FALSE)*C14,2)))</f>
        <v>1.1100000000000001</v>
      </c>
      <c r="J14" s="142">
        <f>IF(B14=0,"",IF(C14&gt;9999,"",ROUND(VLOOKUP($B14,Operations!$A$2:$U$101,21,FALSE)*$C14,2)))</f>
        <v>0.88</v>
      </c>
      <c r="K14" s="142">
        <f t="shared" si="0"/>
        <v>4.2300000000000004</v>
      </c>
      <c r="L14" s="143"/>
    </row>
    <row r="15" spans="1:15" x14ac:dyDescent="0.2">
      <c r="A15" s="193">
        <v>4</v>
      </c>
      <c r="B15" s="201" t="s">
        <v>567</v>
      </c>
      <c r="C15" s="203">
        <f>$H$3</f>
        <v>6</v>
      </c>
      <c r="D15" s="197" t="s">
        <v>406</v>
      </c>
      <c r="E15" s="142">
        <f>IF(B15=0,"",IF(C15&gt;9999,"",ROUND('General Variables'!$B$4*VLOOKUP(B15,Operations!$A$2:$U$101,10,FALSE)/VLOOKUP(B15,Operations!$A$2:$U$101,9,FALSE)*C15,2)))</f>
        <v>5.56</v>
      </c>
      <c r="F15" s="142">
        <f>IF(B15=0,0,IF(C15&gt;9999,"",ROUND(IF(VLOOKUP(B15,Operations!$A$2:$U$101,12,FALSE)=0,VLOOKUP(B15,Operations!$A$2:$U$101,13,FALSE)*'General Variables'!$B$8,VLOOKUP(B15,Operations!$A$2:$U$101,12,FALSE)*'General Variables'!$B$7)/VLOOKUP(B15,Operations!$A$2:$U$101,9,FALSE)*C15,2)))</f>
        <v>16.72</v>
      </c>
      <c r="G15" s="142">
        <f>IF(B15=0,0,IF(C15&gt;9999,"",ROUND(VLOOKUP(VLOOKUP(B15,Operations!$A$2:$U$101,11,FALSE),PowerUnits[],10,FALSE)/VLOOKUP(B15,Operations!$A$2:$U$101,9,FALSE)*C15,2)))</f>
        <v>1.76</v>
      </c>
      <c r="H15" s="142">
        <f>IF(B15=0,"",IF(C15&gt;9999,"",ROUND(VLOOKUP($B15,Operations!$A$2:$U$101,15,FALSE)*C15,2)))</f>
        <v>10.38</v>
      </c>
      <c r="I15" s="142">
        <f>IF(B15=0,0,IF(C15&gt;9999,"",ROUND(VLOOKUP(VLOOKUP(B15,Operations!$A$2:$U$101,11,FALSE),PowerUnits[],16,FALSE)/VLOOKUP(B15,Operations!$A$2:$U$101,9,FALSE)*C15,2)))</f>
        <v>3.18</v>
      </c>
      <c r="J15" s="142">
        <f>IF(B15=0,"",IF(C15&gt;9999,"",ROUND(VLOOKUP($B15,Operations!$A$2:$U$101,21,FALSE)*$C15,2)))</f>
        <v>6.21</v>
      </c>
      <c r="K15" s="142">
        <f t="shared" si="0"/>
        <v>43.81</v>
      </c>
      <c r="L15" s="143"/>
    </row>
    <row r="16" spans="1:15" x14ac:dyDescent="0.2">
      <c r="A16" s="193">
        <v>5</v>
      </c>
      <c r="B16" s="201" t="s">
        <v>17</v>
      </c>
      <c r="C16" s="203" t="s">
        <v>3</v>
      </c>
      <c r="D16" s="197"/>
      <c r="E16" s="142" t="str">
        <f>IF(B16=0,"",IF(C16&gt;9999,"",ROUND('General Variables'!$B$4*VLOOKUP(B16,Operations!$A$2:$U$101,10,FALSE)/VLOOKUP(B16,Operations!$A$2:$U$101,9,FALSE)*C16,2)))</f>
        <v/>
      </c>
      <c r="F16" s="142" t="str">
        <f>IF(B16=0,0,IF(C16&gt;9999,"",ROUND(IF(VLOOKUP(B16,Operations!$A$2:$U$101,12,FALSE)=0,VLOOKUP(B16,Operations!$A$2:$U$101,13,FALSE)*'General Variables'!$B$8,VLOOKUP(B16,Operations!$A$2:$U$101,12,FALSE)*'General Variables'!$B$7)/VLOOKUP(B16,Operations!$A$2:$U$101,9,FALSE)*C16,2)))</f>
        <v/>
      </c>
      <c r="G16" s="142" t="str">
        <f>IF(B16=0,0,IF(C16&gt;9999,"",ROUND(VLOOKUP(VLOOKUP(B16,Operations!$A$2:$U$101,11,FALSE),PowerUnits[],10,FALSE)/VLOOKUP(B16,Operations!$A$2:$U$101,9,FALSE)*C16,2)))</f>
        <v/>
      </c>
      <c r="H16" s="142" t="str">
        <f>IF(B16=0,"",IF(C16&gt;9999,"",ROUND(VLOOKUP($B16,Operations!$A$2:$U$101,15,FALSE)*C16,2)))</f>
        <v/>
      </c>
      <c r="I16" s="142" t="str">
        <f>IF(B16=0,0,IF(C16&gt;9999,"",ROUND(VLOOKUP(VLOOKUP(B16,Operations!$A$2:$U$101,11,FALSE),PowerUnits[],16,FALSE)/VLOOKUP(B16,Operations!$A$2:$U$101,9,FALSE)*C16,2)))</f>
        <v/>
      </c>
      <c r="J16" s="142" t="str">
        <f>IF(B16=0,"",IF(C16&gt;9999,"",ROUND(VLOOKUP($B16,Operations!$A$2:$U$101,21,FALSE)*$C16,2)))</f>
        <v/>
      </c>
      <c r="K16" s="142" t="str">
        <f t="shared" si="0"/>
        <v/>
      </c>
      <c r="L16" s="143"/>
    </row>
    <row r="17" spans="1:12" x14ac:dyDescent="0.2">
      <c r="A17" s="193">
        <v>6</v>
      </c>
      <c r="B17" s="201" t="s">
        <v>17</v>
      </c>
      <c r="C17" s="203" t="s">
        <v>3</v>
      </c>
      <c r="D17" s="197"/>
      <c r="E17" s="142" t="str">
        <f>IF(B17=0,"",IF(C17&gt;9999,"",ROUND('General Variables'!$B$4*VLOOKUP(B17,Operations!$A$2:$U$101,10,FALSE)/VLOOKUP(B17,Operations!$A$2:$U$101,9,FALSE)*C17,2)))</f>
        <v/>
      </c>
      <c r="F17" s="142" t="str">
        <f>IF(B17=0,0,IF(C17&gt;9999,"",ROUND(IF(VLOOKUP(B17,Operations!$A$2:$U$101,12,FALSE)=0,VLOOKUP(B17,Operations!$A$2:$U$101,13,FALSE)*'General Variables'!$B$8,VLOOKUP(B17,Operations!$A$2:$U$101,12,FALSE)*'General Variables'!$B$7)/VLOOKUP(B17,Operations!$A$2:$U$101,9,FALSE)*C17,2)))</f>
        <v/>
      </c>
      <c r="G17" s="142" t="str">
        <f>IF(B17=0,0,IF(C17&gt;9999,"",ROUND(VLOOKUP(VLOOKUP(B17,Operations!$A$2:$U$101,11,FALSE),PowerUnits[],10,FALSE)/VLOOKUP(B17,Operations!$A$2:$U$101,9,FALSE)*C17,2)))</f>
        <v/>
      </c>
      <c r="H17" s="142" t="str">
        <f>IF(B17=0,"",IF(C17&gt;9999,"",ROUND(VLOOKUP($B17,Operations!$A$2:$U$101,15,FALSE)*C17,2)))</f>
        <v/>
      </c>
      <c r="I17" s="142" t="str">
        <f>IF(B17=0,0,IF(C17&gt;9999,"",ROUND(VLOOKUP(VLOOKUP(B17,Operations!$A$2:$U$101,11,FALSE),PowerUnits[],16,FALSE)/VLOOKUP(B17,Operations!$A$2:$U$101,9,FALSE)*C17,2)))</f>
        <v/>
      </c>
      <c r="J17" s="142" t="str">
        <f>IF(B17=0,"",IF(C17&gt;9999,"",ROUND(VLOOKUP($B17,Operations!$A$2:$U$101,21,FALSE)*$C17,2)))</f>
        <v/>
      </c>
      <c r="K17" s="142" t="str">
        <f t="shared" si="0"/>
        <v/>
      </c>
      <c r="L17" s="143"/>
    </row>
    <row r="18" spans="1:12" x14ac:dyDescent="0.2">
      <c r="A18" s="193">
        <v>7</v>
      </c>
      <c r="B18" s="201" t="s">
        <v>491</v>
      </c>
      <c r="C18" s="203">
        <v>1</v>
      </c>
      <c r="D18" s="197"/>
      <c r="E18" s="142">
        <f>IF(B18=0,"",IF(C18&gt;9999,"",ROUND('General Variables'!$B$4*VLOOKUP(B18,Operations!$A$2:$U$101,10,FALSE)/VLOOKUP(B18,Operations!$A$2:$U$101,9,FALSE)*C18,2)))</f>
        <v>3.14</v>
      </c>
      <c r="F18" s="142">
        <f>IF(B18=0,0,IF(C18&gt;9999,"",ROUND(IF(VLOOKUP(B18,Operations!$A$2:$U$101,12,FALSE)=0,VLOOKUP(B18,Operations!$A$2:$U$101,13,FALSE)*'General Variables'!$B$8,VLOOKUP(B18,Operations!$A$2:$U$101,12,FALSE)*'General Variables'!$B$7)/VLOOKUP(B18,Operations!$A$2:$U$101,9,FALSE)*C18,2)))</f>
        <v>3.87</v>
      </c>
      <c r="G18" s="142">
        <f>IF(B18=0,0,IF(C18&gt;9999,"",ROUND(VLOOKUP(VLOOKUP(B18,Operations!$A$2:$U$101,11,FALSE),PowerUnits[],10,FALSE)/VLOOKUP(B18,Operations!$A$2:$U$101,9,FALSE)*C18,2)))</f>
        <v>7.31</v>
      </c>
      <c r="H18" s="142">
        <f>IF(B18=0,"",IF(C18&gt;9999,"",ROUND(VLOOKUP($B18,Operations!$A$2:$U$101,15,FALSE)*C18,2)))</f>
        <v>0.93</v>
      </c>
      <c r="I18" s="142">
        <f>IF(B18=0,0,IF(C18&gt;9999,"",ROUND(VLOOKUP(VLOOKUP(B18,Operations!$A$2:$U$101,11,FALSE),PowerUnits[],16,FALSE)/VLOOKUP(B18,Operations!$A$2:$U$101,9,FALSE)*C18,2)))</f>
        <v>5.99</v>
      </c>
      <c r="J18" s="142">
        <f>IF(B18=0,"",IF(C18&gt;9999,"",ROUND(VLOOKUP($B18,Operations!$A$2:$U$101,21,FALSE)*$C18,2)))</f>
        <v>2.81</v>
      </c>
      <c r="K18" s="142">
        <f t="shared" si="0"/>
        <v>24.05</v>
      </c>
      <c r="L18" s="143"/>
    </row>
    <row r="19" spans="1:12" x14ac:dyDescent="0.2">
      <c r="A19" s="193">
        <v>8</v>
      </c>
      <c r="B19" s="201" t="s">
        <v>296</v>
      </c>
      <c r="C19" s="203" t="s">
        <v>3</v>
      </c>
      <c r="D19" s="197"/>
      <c r="E19" s="142" t="str">
        <f>IF(B19=0,"",IF(C19&gt;9999,"",ROUND('General Variables'!$B$4*VLOOKUP(B19,Operations!$A$2:$U$101,10,FALSE)/VLOOKUP(B19,Operations!$A$2:$U$101,9,FALSE)*C19,2)))</f>
        <v/>
      </c>
      <c r="F19" s="142" t="str">
        <f>IF(B19=0,0,IF(C19&gt;9999,"",ROUND(IF(VLOOKUP(B19,Operations!$A$2:$U$101,12,FALSE)=0,VLOOKUP(B19,Operations!$A$2:$U$101,13,FALSE)*'General Variables'!$B$8,VLOOKUP(B19,Operations!$A$2:$U$101,12,FALSE)*'General Variables'!$B$7)/VLOOKUP(B19,Operations!$A$2:$U$101,9,FALSE)*C19,2)))</f>
        <v/>
      </c>
      <c r="G19" s="142" t="str">
        <f>IF(B19=0,0,IF(C19&gt;9999,"",ROUND(VLOOKUP(VLOOKUP(B19,Operations!$A$2:$U$101,11,FALSE),PowerUnits[],10,FALSE)/VLOOKUP(B19,Operations!$A$2:$U$101,9,FALSE)*C19,2)))</f>
        <v/>
      </c>
      <c r="H19" s="142" t="str">
        <f>IF(B19=0,"",IF(C19&gt;9999,"",ROUND(VLOOKUP($B19,Operations!$A$2:$U$101,15,FALSE)*C19,2)))</f>
        <v/>
      </c>
      <c r="I19" s="142" t="str">
        <f>IF(B19=0,0,IF(C19&gt;9999,"",ROUND(VLOOKUP(VLOOKUP(B19,Operations!$A$2:$U$101,11,FALSE),PowerUnits[],16,FALSE)/VLOOKUP(B19,Operations!$A$2:$U$101,9,FALSE)*C19,2)))</f>
        <v/>
      </c>
      <c r="J19" s="142" t="str">
        <f>IF(B19=0,"",IF(C19&gt;9999,"",ROUND(VLOOKUP($B19,Operations!$A$2:$U$101,21,FALSE)*$C19,2)))</f>
        <v/>
      </c>
      <c r="K19" s="142" t="str">
        <f>IF(C19&gt;9999,"",ROUND(SUM(E19:J19),2))</f>
        <v/>
      </c>
      <c r="L19" s="143"/>
    </row>
    <row r="20" spans="1:12" hidden="1" x14ac:dyDescent="0.2">
      <c r="A20" s="193">
        <v>9</v>
      </c>
      <c r="B20" s="201"/>
      <c r="C20" s="203"/>
      <c r="D20" s="197"/>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3">
        <v>10</v>
      </c>
      <c r="B21" s="201"/>
      <c r="C21" s="203"/>
      <c r="D21" s="197"/>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3">
        <v>11</v>
      </c>
      <c r="B22" s="201"/>
      <c r="C22" s="203"/>
      <c r="D22" s="197"/>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3">
        <v>12</v>
      </c>
      <c r="B23" s="201"/>
      <c r="C23" s="203"/>
      <c r="D23" s="197"/>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3">
        <v>13</v>
      </c>
      <c r="B24" s="201"/>
      <c r="C24" s="203"/>
      <c r="D24" s="197"/>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3">
        <v>14</v>
      </c>
      <c r="B25" s="202"/>
      <c r="C25" s="204"/>
      <c r="D25" s="197"/>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3">
        <v>15</v>
      </c>
      <c r="B26" s="202"/>
      <c r="C26" s="204"/>
      <c r="D26" s="197"/>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3">
        <v>16</v>
      </c>
      <c r="B27" s="202"/>
      <c r="C27" s="204"/>
      <c r="D27" s="197"/>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3">
        <v>17</v>
      </c>
      <c r="B28" s="202"/>
      <c r="C28" s="204"/>
      <c r="D28" s="197"/>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3">
        <v>18</v>
      </c>
      <c r="B29" s="202"/>
      <c r="C29" s="204"/>
      <c r="D29" s="197"/>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3">
        <v>19</v>
      </c>
      <c r="B30" s="202"/>
      <c r="C30" s="204"/>
      <c r="D30" s="197"/>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3">
        <v>20</v>
      </c>
      <c r="B31" s="202"/>
      <c r="C31" s="204"/>
      <c r="D31" s="197"/>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3"/>
      <c r="B32" s="146"/>
      <c r="C32" s="147"/>
      <c r="D32" s="147"/>
      <c r="E32" s="148"/>
      <c r="F32" s="148"/>
      <c r="G32" s="148"/>
      <c r="H32" s="148"/>
      <c r="I32" s="148"/>
      <c r="J32" s="148"/>
      <c r="K32" s="148"/>
      <c r="L32" s="149"/>
    </row>
    <row r="33" spans="1:12" ht="13.5" thickTop="1" x14ac:dyDescent="0.2">
      <c r="C33" s="139" t="s">
        <v>74</v>
      </c>
      <c r="D33" s="139"/>
      <c r="E33" s="150">
        <f>SUM(E12:E31)</f>
        <v>12.530000000000001</v>
      </c>
      <c r="F33" s="150">
        <f t="shared" ref="F33:K33" si="1">SUM(F12:F31)</f>
        <v>22.44</v>
      </c>
      <c r="G33" s="150">
        <f t="shared" si="1"/>
        <v>10.42</v>
      </c>
      <c r="H33" s="150">
        <f t="shared" si="1"/>
        <v>14.16</v>
      </c>
      <c r="I33" s="150">
        <f t="shared" si="1"/>
        <v>13.690000000000001</v>
      </c>
      <c r="J33" s="150">
        <f t="shared" si="1"/>
        <v>14.32</v>
      </c>
      <c r="K33" s="150">
        <f t="shared" si="1"/>
        <v>87.56</v>
      </c>
      <c r="L33" s="143"/>
    </row>
    <row r="35" spans="1:12" ht="24" customHeight="1" thickBot="1" x14ac:dyDescent="0.25">
      <c r="B35" s="136"/>
      <c r="C35" s="136"/>
      <c r="D35" s="136"/>
      <c r="E35" s="136"/>
      <c r="F35" s="224" t="s">
        <v>85</v>
      </c>
      <c r="G35" s="224" t="s">
        <v>82</v>
      </c>
      <c r="H35" s="225" t="s">
        <v>86</v>
      </c>
      <c r="I35" s="225"/>
      <c r="J35" s="224" t="s">
        <v>62</v>
      </c>
      <c r="L35" s="225" t="s">
        <v>359</v>
      </c>
    </row>
    <row r="36" spans="1:12" s="151" customFormat="1" ht="18.75" customHeight="1" thickTop="1" thickBot="1" x14ac:dyDescent="0.25">
      <c r="B36" s="152" t="s">
        <v>81</v>
      </c>
      <c r="C36" s="194"/>
      <c r="D36" s="194"/>
      <c r="E36" s="194"/>
      <c r="F36" s="224"/>
      <c r="G36" s="224"/>
      <c r="H36" s="189" t="s">
        <v>87</v>
      </c>
      <c r="I36" s="190" t="s">
        <v>70</v>
      </c>
      <c r="J36" s="224"/>
      <c r="K36" s="194" t="s">
        <v>83</v>
      </c>
      <c r="L36" s="224"/>
    </row>
    <row r="37" spans="1:12" ht="13.5" thickTop="1" x14ac:dyDescent="0.2">
      <c r="A37" s="175"/>
      <c r="B37" s="201" t="s">
        <v>29</v>
      </c>
      <c r="C37" s="218" t="str">
        <f>IF(B37=0,"",VLOOKUP($B37,Materials!$B$2:$H$127,2,FALSE))</f>
        <v>Herbicide</v>
      </c>
      <c r="D37" s="218"/>
      <c r="E37" s="218"/>
      <c r="F37" s="203">
        <v>1</v>
      </c>
      <c r="G37" s="205">
        <v>1</v>
      </c>
      <c r="H37" s="206">
        <v>32</v>
      </c>
      <c r="I37" s="153" t="str">
        <f>IF($B37=0,"",VLOOKUP($B37,Materials!$B$2:$H$127,5,FALSE))</f>
        <v>ounce</v>
      </c>
      <c r="J37" s="142">
        <f>IF($B37=0,"",VLOOKUP($B37,Materials!$B$2:$H$127,7,FALSE))</f>
        <v>0.125</v>
      </c>
      <c r="K37" s="150">
        <f>IF(B37=0,0,ROUND(G37*H37*J37,2))</f>
        <v>4</v>
      </c>
      <c r="L37" s="143"/>
    </row>
    <row r="38" spans="1:12" x14ac:dyDescent="0.2">
      <c r="A38" s="175"/>
      <c r="B38" s="201" t="s">
        <v>444</v>
      </c>
      <c r="C38" s="218" t="str">
        <f>IF(B38=0,"",VLOOKUP($B38,Materials!$B$2:$H$127,2,FALSE))</f>
        <v>Herbicide</v>
      </c>
      <c r="D38" s="218"/>
      <c r="E38" s="218"/>
      <c r="F38" s="203">
        <v>1</v>
      </c>
      <c r="G38" s="205">
        <v>1</v>
      </c>
      <c r="H38" s="206">
        <v>1.5</v>
      </c>
      <c r="I38" s="153" t="str">
        <f>IF($B38=0,"",VLOOKUP($B38,Materials!$B$2:$H$127,5,FALSE))</f>
        <v>ounce</v>
      </c>
      <c r="J38" s="142">
        <f>IF($B38=0,"",VLOOKUP($B38,Materials!$B$2:$H$127,7,FALSE))</f>
        <v>5.75</v>
      </c>
      <c r="K38" s="150">
        <f t="shared" ref="K38:K55" si="2">IF(B38=0,0,ROUND(G38*H38*J38,2))</f>
        <v>8.6300000000000008</v>
      </c>
      <c r="L38" s="143"/>
    </row>
    <row r="39" spans="1:12" x14ac:dyDescent="0.2">
      <c r="A39" s="175"/>
      <c r="B39" s="201" t="s">
        <v>574</v>
      </c>
      <c r="C39" s="218" t="str">
        <f>IF(B39=0,"",VLOOKUP($B39,Materials!$B$2:$H$127,2,FALSE))</f>
        <v>Seed</v>
      </c>
      <c r="D39" s="218"/>
      <c r="E39" s="218"/>
      <c r="F39" s="203">
        <v>2</v>
      </c>
      <c r="G39" s="205">
        <v>1</v>
      </c>
      <c r="H39" s="206">
        <v>120</v>
      </c>
      <c r="I39" s="153" t="str">
        <f>IF($B39=0,"",VLOOKUP($B39,Materials!$B$2:$H$127,5,FALSE))</f>
        <v>pound</v>
      </c>
      <c r="J39" s="142">
        <f>IF($B39=0,"",VLOOKUP($B39,Materials!$B$2:$H$127,7,FALSE))</f>
        <v>0.31</v>
      </c>
      <c r="K39" s="150">
        <f t="shared" si="2"/>
        <v>37.200000000000003</v>
      </c>
      <c r="L39" s="143"/>
    </row>
    <row r="40" spans="1:12" x14ac:dyDescent="0.2">
      <c r="A40" s="175"/>
      <c r="B40" s="201" t="s">
        <v>9</v>
      </c>
      <c r="C40" s="218" t="str">
        <f>IF(B40=0,"",VLOOKUP($B40,Materials!$B$2:$H$127,2,FALSE))</f>
        <v>Fertilizer</v>
      </c>
      <c r="D40" s="218"/>
      <c r="E40" s="218"/>
      <c r="F40" s="203">
        <v>2</v>
      </c>
      <c r="G40" s="205">
        <v>1</v>
      </c>
      <c r="H40" s="206">
        <v>40</v>
      </c>
      <c r="I40" s="153" t="str">
        <f>IF($B40=0,"",VLOOKUP($B40,Materials!$B$2:$H$127,5,FALSE))</f>
        <v>pound</v>
      </c>
      <c r="J40" s="142">
        <f>IF($B40=0,"",VLOOKUP($B40,Materials!$B$2:$H$127,7,FALSE))</f>
        <v>0.28000000000000003</v>
      </c>
      <c r="K40" s="150">
        <f t="shared" si="2"/>
        <v>11.2</v>
      </c>
      <c r="L40" s="143"/>
    </row>
    <row r="41" spans="1:12" x14ac:dyDescent="0.2">
      <c r="A41" s="175"/>
      <c r="B41" s="201" t="s">
        <v>12</v>
      </c>
      <c r="C41" s="218" t="str">
        <f>IF(B41=0,"",VLOOKUP($B41,Materials!$B$2:$H$127,2,FALSE))</f>
        <v>Herbicide</v>
      </c>
      <c r="D41" s="218"/>
      <c r="E41" s="218"/>
      <c r="F41" s="203">
        <v>3</v>
      </c>
      <c r="G41" s="205">
        <v>1</v>
      </c>
      <c r="H41" s="207">
        <v>0.5</v>
      </c>
      <c r="I41" s="153" t="str">
        <f>IF($B41=0,"",VLOOKUP($B41,Materials!$B$2:$H$127,5,FALSE))</f>
        <v>pint</v>
      </c>
      <c r="J41" s="142">
        <f>IF($B41=0,"",VLOOKUP($B41,Materials!$B$2:$H$127,7,FALSE))</f>
        <v>2.5625</v>
      </c>
      <c r="K41" s="150">
        <f t="shared" si="2"/>
        <v>1.28</v>
      </c>
      <c r="L41" s="143"/>
    </row>
    <row r="42" spans="1:12" x14ac:dyDescent="0.2">
      <c r="A42" s="175"/>
      <c r="B42" s="201" t="s">
        <v>432</v>
      </c>
      <c r="C42" s="218" t="str">
        <f>IF(B42=0,"",VLOOKUP($B42,Materials!$B$2:$H$127,2,FALSE))</f>
        <v>Herbicide</v>
      </c>
      <c r="D42" s="218"/>
      <c r="E42" s="218"/>
      <c r="F42" s="203">
        <v>3</v>
      </c>
      <c r="G42" s="205">
        <v>1</v>
      </c>
      <c r="H42" s="207">
        <v>0.3</v>
      </c>
      <c r="I42" s="153" t="str">
        <f>IF($B42=0,"",VLOOKUP($B42,Materials!$B$2:$H$127,5,FALSE))</f>
        <v>ounce</v>
      </c>
      <c r="J42" s="142">
        <f>IF($B42=0,"",VLOOKUP($B42,Materials!$B$2:$H$127,7,FALSE))</f>
        <v>9</v>
      </c>
      <c r="K42" s="150">
        <f t="shared" si="2"/>
        <v>2.7</v>
      </c>
      <c r="L42" s="143"/>
    </row>
    <row r="43" spans="1:12" x14ac:dyDescent="0.2">
      <c r="A43" s="180"/>
      <c r="B43" s="201" t="s">
        <v>41</v>
      </c>
      <c r="C43" s="218" t="str">
        <f>IF(B43=0,"",VLOOKUP($B43,Materials!$B$2:$H$127,2,FALSE))</f>
        <v>Additive</v>
      </c>
      <c r="D43" s="218"/>
      <c r="E43" s="218"/>
      <c r="F43" s="203">
        <v>3</v>
      </c>
      <c r="G43" s="205">
        <v>1</v>
      </c>
      <c r="H43" s="206">
        <v>6</v>
      </c>
      <c r="I43" s="153" t="str">
        <f>IF($B43=0,"",VLOOKUP($B43,Materials!$B$2:$H$127,5,FALSE))</f>
        <v>ounce</v>
      </c>
      <c r="J43" s="142">
        <f>IF($B43=0,"",VLOOKUP($B43,Materials!$B$2:$H$127,7,FALSE))</f>
        <v>0.171875</v>
      </c>
      <c r="K43" s="150">
        <f t="shared" si="2"/>
        <v>1.03</v>
      </c>
      <c r="L43" s="143"/>
    </row>
    <row r="44" spans="1:12" x14ac:dyDescent="0.2">
      <c r="A44" s="180"/>
      <c r="B44" s="201" t="s">
        <v>492</v>
      </c>
      <c r="C44" s="218" t="str">
        <f>IF(B44=0,"",VLOOKUP($B44,Materials!$B$2:$H$127,2,FALSE))</f>
        <v>Fertilizer</v>
      </c>
      <c r="D44" s="218"/>
      <c r="E44" s="218"/>
      <c r="F44" s="203">
        <v>4</v>
      </c>
      <c r="G44" s="205">
        <v>1</v>
      </c>
      <c r="H44" s="207">
        <v>115</v>
      </c>
      <c r="I44" s="153" t="str">
        <f>IF($B44=0,"",VLOOKUP($B44,Materials!$B$2:$H$127,5,FALSE))</f>
        <v>lbs N</v>
      </c>
      <c r="J44" s="142">
        <f>IF($B44=0,"",VLOOKUP($B44,Materials!$B$2:$H$127,7,FALSE))</f>
        <v>0.47</v>
      </c>
      <c r="K44" s="150">
        <f t="shared" si="2"/>
        <v>54.05</v>
      </c>
      <c r="L44" s="143"/>
    </row>
    <row r="45" spans="1:12" x14ac:dyDescent="0.2">
      <c r="A45" s="180"/>
      <c r="B45" s="201" t="s">
        <v>468</v>
      </c>
      <c r="C45" s="218" t="str">
        <f>IF(B45=0,"",VLOOKUP($B45,Materials!$B$2:$H$127,2,FALSE))</f>
        <v>Other</v>
      </c>
      <c r="D45" s="218"/>
      <c r="E45" s="218"/>
      <c r="F45" s="203">
        <v>4</v>
      </c>
      <c r="G45" s="205">
        <v>1</v>
      </c>
      <c r="H45" s="206">
        <v>1</v>
      </c>
      <c r="I45" s="153" t="str">
        <f>IF($B45=0,"",VLOOKUP($B45,Materials!$B$2:$H$127,5,FALSE))</f>
        <v>acre</v>
      </c>
      <c r="J45" s="142">
        <f>IF($B45=0,"",VLOOKUP($B45,Materials!$B$2:$H$127,7,FALSE))</f>
        <v>30</v>
      </c>
      <c r="K45" s="150">
        <f t="shared" si="2"/>
        <v>30</v>
      </c>
      <c r="L45" s="143"/>
    </row>
    <row r="46" spans="1:12" x14ac:dyDescent="0.2">
      <c r="A46" s="180" t="s">
        <v>381</v>
      </c>
      <c r="B46" s="201" t="s">
        <v>17</v>
      </c>
      <c r="C46" s="218" t="str">
        <f>IF(B46=0,"",VLOOKUP($B46,Materials!$B$2:$H$127,2,FALSE))</f>
        <v>Custom</v>
      </c>
      <c r="D46" s="218"/>
      <c r="E46" s="218"/>
      <c r="F46" s="203">
        <v>5</v>
      </c>
      <c r="G46" s="205">
        <v>1</v>
      </c>
      <c r="H46" s="206">
        <v>1</v>
      </c>
      <c r="I46" s="153" t="str">
        <f>IF($B46=0,"",VLOOKUP($B46,Materials!$B$2:$H$127,5,FALSE))</f>
        <v>acre</v>
      </c>
      <c r="J46" s="142">
        <f>IF($B46=0,"",VLOOKUP($B46,Materials!$B$2:$H$127,7,FALSE))</f>
        <v>9.5</v>
      </c>
      <c r="K46" s="150">
        <f t="shared" si="2"/>
        <v>9.5</v>
      </c>
      <c r="L46" s="143"/>
    </row>
    <row r="47" spans="1:12" x14ac:dyDescent="0.2">
      <c r="A47" s="180" t="s">
        <v>381</v>
      </c>
      <c r="B47" s="201" t="s">
        <v>54</v>
      </c>
      <c r="C47" s="218" t="str">
        <f>IF(B47=0,"",VLOOKUP($B47,Materials!$B$2:$H$127,2,FALSE))</f>
        <v>Fungicide</v>
      </c>
      <c r="D47" s="218"/>
      <c r="E47" s="218"/>
      <c r="F47" s="203">
        <v>5</v>
      </c>
      <c r="G47" s="205">
        <v>1</v>
      </c>
      <c r="H47" s="206">
        <v>4</v>
      </c>
      <c r="I47" s="153" t="str">
        <f>IF($B47=0,"",VLOOKUP($B47,Materials!$B$2:$H$127,5,FALSE))</f>
        <v>ounce</v>
      </c>
      <c r="J47" s="142">
        <f>IF($B47=0,"",VLOOKUP($B47,Materials!$B$2:$H$127,7,FALSE))</f>
        <v>0.8203125</v>
      </c>
      <c r="K47" s="150">
        <f t="shared" si="2"/>
        <v>3.28</v>
      </c>
      <c r="L47" s="143"/>
    </row>
    <row r="48" spans="1:12" x14ac:dyDescent="0.2">
      <c r="A48" s="180" t="s">
        <v>382</v>
      </c>
      <c r="B48" s="201" t="s">
        <v>17</v>
      </c>
      <c r="C48" s="218" t="str">
        <f>IF(B48=0,"",VLOOKUP($B48,Materials!$B$2:$H$127,2,FALSE))</f>
        <v>Custom</v>
      </c>
      <c r="D48" s="218"/>
      <c r="E48" s="218"/>
      <c r="F48" s="203">
        <v>6</v>
      </c>
      <c r="G48" s="205">
        <v>0.15</v>
      </c>
      <c r="H48" s="206">
        <v>1</v>
      </c>
      <c r="I48" s="153" t="str">
        <f>IF($B48=0,"",VLOOKUP($B48,Materials!$B$2:$H$127,5,FALSE))</f>
        <v>acre</v>
      </c>
      <c r="J48" s="142">
        <f>IF($B48=0,"",VLOOKUP($B48,Materials!$B$2:$H$127,7,FALSE))</f>
        <v>9.5</v>
      </c>
      <c r="K48" s="150">
        <f t="shared" si="2"/>
        <v>1.43</v>
      </c>
      <c r="L48" s="143"/>
    </row>
    <row r="49" spans="1:12" x14ac:dyDescent="0.2">
      <c r="A49" s="180" t="s">
        <v>382</v>
      </c>
      <c r="B49" s="201" t="s">
        <v>533</v>
      </c>
      <c r="C49" s="218" t="str">
        <f>IF(B49=0,"",VLOOKUP($B49,Materials!$B$2:$H$127,2,FALSE))</f>
        <v>Insecticide</v>
      </c>
      <c r="D49" s="218"/>
      <c r="E49" s="218"/>
      <c r="F49" s="203">
        <v>6</v>
      </c>
      <c r="G49" s="205">
        <v>0.1</v>
      </c>
      <c r="H49" s="206">
        <v>1</v>
      </c>
      <c r="I49" s="153" t="str">
        <f>IF($B49=0,"",VLOOKUP($B49,Materials!$B$2:$H$127,5,FALSE))</f>
        <v>pint</v>
      </c>
      <c r="J49" s="142">
        <f>IF($B49=0,"",VLOOKUP($B49,Materials!$B$2:$H$127,7,FALSE))</f>
        <v>6.875</v>
      </c>
      <c r="K49" s="150">
        <f t="shared" si="2"/>
        <v>0.69</v>
      </c>
      <c r="L49" s="143"/>
    </row>
    <row r="50" spans="1:12" x14ac:dyDescent="0.2">
      <c r="A50" s="180" t="s">
        <v>382</v>
      </c>
      <c r="B50" s="201" t="s">
        <v>384</v>
      </c>
      <c r="C50" s="218" t="str">
        <f>IF(B50=0,"",VLOOKUP($B50,Materials!$B$2:$H$127,2,FALSE))</f>
        <v>Insecticide</v>
      </c>
      <c r="D50" s="218"/>
      <c r="E50" s="218"/>
      <c r="F50" s="203">
        <v>6</v>
      </c>
      <c r="G50" s="205">
        <v>0.05</v>
      </c>
      <c r="H50" s="206">
        <v>1.92</v>
      </c>
      <c r="I50" s="153" t="str">
        <f>IF($B50=0,"",VLOOKUP($B50,Materials!$B$2:$H$127,5,FALSE))</f>
        <v>ounce</v>
      </c>
      <c r="J50" s="142">
        <f>IF($B50=0,"",VLOOKUP($B50,Materials!$B$2:$H$127,7,FALSE))</f>
        <v>2.96875</v>
      </c>
      <c r="K50" s="150">
        <f t="shared" si="2"/>
        <v>0.28999999999999998</v>
      </c>
      <c r="L50" s="143"/>
    </row>
    <row r="51" spans="1:12" x14ac:dyDescent="0.2">
      <c r="B51" s="202" t="s">
        <v>539</v>
      </c>
      <c r="C51" s="218" t="str">
        <f>IF(B51=0,"",VLOOKUP($B51,Materials!$B$2:$H$127,2,FALSE))</f>
        <v>Scouting</v>
      </c>
      <c r="D51" s="218"/>
      <c r="E51" s="218"/>
      <c r="F51" s="204"/>
      <c r="G51" s="205">
        <v>1</v>
      </c>
      <c r="H51" s="208">
        <v>1</v>
      </c>
      <c r="I51" s="153" t="str">
        <f>IF($B51=0,"",VLOOKUP($B51,Materials!$B$2:$H$127,5,FALSE))</f>
        <v>acre</v>
      </c>
      <c r="J51" s="142">
        <f>IF($B51=0,"",VLOOKUP($B51,Materials!$B$2:$H$127,7,FALSE))</f>
        <v>5</v>
      </c>
      <c r="K51" s="150">
        <f t="shared" si="2"/>
        <v>5</v>
      </c>
      <c r="L51" s="143"/>
    </row>
    <row r="52" spans="1:12" x14ac:dyDescent="0.2">
      <c r="B52" s="202" t="s">
        <v>586</v>
      </c>
      <c r="C52" s="218" t="str">
        <f>IF(B52=0,"",VLOOKUP($B52,Materials!$B$2:$H$127,2,FALSE))</f>
        <v>Custom</v>
      </c>
      <c r="D52" s="218"/>
      <c r="E52" s="218"/>
      <c r="F52" s="204">
        <v>8</v>
      </c>
      <c r="G52" s="205">
        <v>1</v>
      </c>
      <c r="H52" s="208">
        <f>$A$4</f>
        <v>85</v>
      </c>
      <c r="I52" s="153" t="str">
        <f>IF($B52=0,"",VLOOKUP($B52,Materials!$B$2:$H$127,5,FALSE))</f>
        <v>bushel</v>
      </c>
      <c r="J52" s="142">
        <f>IF($B52=0,"",VLOOKUP($B52,Materials!$B$2:$H$127,7,FALSE))</f>
        <v>0.11</v>
      </c>
      <c r="K52" s="150">
        <f t="shared" si="2"/>
        <v>9.35</v>
      </c>
      <c r="L52" s="143"/>
    </row>
    <row r="53" spans="1:12" hidden="1" x14ac:dyDescent="0.2">
      <c r="B53" s="202"/>
      <c r="C53" s="218" t="str">
        <f>IF(B53=0,"",VLOOKUP($B53,Materials!$B$2:$H$127,2,FALSE))</f>
        <v/>
      </c>
      <c r="D53" s="218"/>
      <c r="E53" s="218"/>
      <c r="F53" s="204"/>
      <c r="G53" s="209"/>
      <c r="H53" s="208"/>
      <c r="I53" s="153" t="str">
        <f>IF($B53=0,"",VLOOKUP($B53,Materials!$B$2:$H$127,5,FALSE))</f>
        <v/>
      </c>
      <c r="J53" s="142" t="str">
        <f>IF($B53=0,"",VLOOKUP($B53,Materials!$B$2:$H$127,7,FALSE))</f>
        <v/>
      </c>
      <c r="K53" s="150">
        <f t="shared" si="2"/>
        <v>0</v>
      </c>
      <c r="L53" s="143"/>
    </row>
    <row r="54" spans="1:12" hidden="1" x14ac:dyDescent="0.2">
      <c r="B54" s="202"/>
      <c r="C54" s="218" t="str">
        <f>IF(B54=0,"",VLOOKUP($B54,Materials!$B$2:$H$127,2,FALSE))</f>
        <v/>
      </c>
      <c r="D54" s="218"/>
      <c r="E54" s="218"/>
      <c r="F54" s="204"/>
      <c r="G54" s="209"/>
      <c r="H54" s="208"/>
      <c r="I54" s="153" t="str">
        <f>IF($B54=0,"",VLOOKUP($B54,Materials!$B$2:$H$127,5,FALSE))</f>
        <v/>
      </c>
      <c r="J54" s="142" t="str">
        <f>IF($B54=0,"",VLOOKUP($B54,Materials!$B$2:$H$127,7,FALSE))</f>
        <v/>
      </c>
      <c r="K54" s="150">
        <f t="shared" si="2"/>
        <v>0</v>
      </c>
      <c r="L54" s="143"/>
    </row>
    <row r="55" spans="1:12" hidden="1" x14ac:dyDescent="0.2">
      <c r="B55" s="202"/>
      <c r="C55" s="218" t="str">
        <f>IF(B55=0,"",VLOOKUP($B55,Materials!$B$2:$H$127,2,FALSE))</f>
        <v/>
      </c>
      <c r="D55" s="218"/>
      <c r="E55" s="218"/>
      <c r="F55" s="204"/>
      <c r="G55" s="209"/>
      <c r="H55" s="208"/>
      <c r="I55" s="153" t="str">
        <f>IF($B55=0,"",VLOOKUP($B55,Materials!$B$2:$H$127,5,FALSE))</f>
        <v/>
      </c>
      <c r="J55" s="142" t="str">
        <f>IF($B55=0,"",VLOOKUP($B55,Materials!$B$2:$H$127,7,FALSE))</f>
        <v/>
      </c>
      <c r="K55" s="150">
        <f t="shared" si="2"/>
        <v>0</v>
      </c>
      <c r="L55" s="145"/>
    </row>
    <row r="56" spans="1:12" hidden="1" x14ac:dyDescent="0.2">
      <c r="B56" s="202"/>
      <c r="C56" s="218" t="str">
        <f>IF(B56=0,"",VLOOKUP($B56,Materials!$B$2:$H$127,2,FALSE))</f>
        <v/>
      </c>
      <c r="D56" s="218"/>
      <c r="E56" s="218"/>
      <c r="F56" s="204"/>
      <c r="G56" s="209"/>
      <c r="H56" s="208"/>
      <c r="I56" s="153" t="str">
        <f>IF($B56=0,"",VLOOKUP($B56,Materials!$B$2:$H$127,5,FALSE))</f>
        <v/>
      </c>
      <c r="J56" s="142" t="str">
        <f>IF($B56=0,"",VLOOKUP($B56,Materials!$B$2:$H$127,7,FALSE))</f>
        <v/>
      </c>
      <c r="K56" s="150">
        <f>IF(B56=0,0,ROUND(G56*H56*J56,2))</f>
        <v>0</v>
      </c>
      <c r="L56" s="145"/>
    </row>
    <row r="57" spans="1:12" hidden="1" x14ac:dyDescent="0.2">
      <c r="B57" s="202"/>
      <c r="C57" s="218" t="str">
        <f>IF(B57=0,"",VLOOKUP($B57,Materials!$B$2:$H$127,2,FALSE))</f>
        <v/>
      </c>
      <c r="D57" s="218"/>
      <c r="E57" s="218"/>
      <c r="F57" s="204"/>
      <c r="G57" s="209"/>
      <c r="H57" s="208"/>
      <c r="I57" s="153" t="str">
        <f>IF($B57=0,"",VLOOKUP($B57,Materials!$B$2:$H$127,5,FALSE))</f>
        <v/>
      </c>
      <c r="J57" s="142" t="str">
        <f>IF($B57=0,"",VLOOKUP($B57,Materials!$B$2:$H$127,7,FALSE))</f>
        <v/>
      </c>
      <c r="K57" s="150">
        <f>IF(B57=0,0,ROUND(G57*H57*J57,2))</f>
        <v>0</v>
      </c>
      <c r="L57" s="145"/>
    </row>
    <row r="58" spans="1:12" hidden="1" x14ac:dyDescent="0.2">
      <c r="B58" s="202"/>
      <c r="C58" s="218" t="str">
        <f>IF(B58=0,"",VLOOKUP($B58,Materials!$B$2:$H$127,2,FALSE))</f>
        <v/>
      </c>
      <c r="D58" s="218"/>
      <c r="E58" s="218"/>
      <c r="F58" s="204"/>
      <c r="G58" s="209"/>
      <c r="H58" s="208"/>
      <c r="I58" s="153" t="str">
        <f>IF($B58=0,"",VLOOKUP($B58,Materials!$B$2:$H$127,5,FALSE))</f>
        <v/>
      </c>
      <c r="J58" s="142" t="str">
        <f>IF($B58=0,"",VLOOKUP($B58,Materials!$B$2:$H$127,7,FALSE))</f>
        <v/>
      </c>
      <c r="K58" s="150">
        <f>IF(B58=0,0,ROUND(G58*H58*J58,2))</f>
        <v>0</v>
      </c>
      <c r="L58" s="145"/>
    </row>
    <row r="59" spans="1:12" hidden="1" x14ac:dyDescent="0.2">
      <c r="B59" s="202"/>
      <c r="C59" s="218" t="str">
        <f>IF(B59=0,"",VLOOKUP($B59,Materials!$B$2:$H$127,2,FALSE))</f>
        <v/>
      </c>
      <c r="D59" s="218"/>
      <c r="E59" s="218"/>
      <c r="F59" s="204"/>
      <c r="G59" s="209"/>
      <c r="H59" s="208"/>
      <c r="I59" s="153" t="str">
        <f>IF($B59=0,"",VLOOKUP($B59,Materials!$B$2:$H$127,5,FALSE))</f>
        <v/>
      </c>
      <c r="J59" s="142" t="str">
        <f>IF($B59=0,"",VLOOKUP($B59,Materials!$B$2:$H$127,7,FALSE))</f>
        <v/>
      </c>
      <c r="K59" s="150">
        <f>IF(B59=0,0,ROUND(G59*H59*J59,2))</f>
        <v>0</v>
      </c>
      <c r="L59" s="145"/>
    </row>
    <row r="60" spans="1:12" hidden="1" x14ac:dyDescent="0.2">
      <c r="B60" s="202"/>
      <c r="C60" s="218" t="str">
        <f>IF(B60=0,"",VLOOKUP($B60,Materials!$B$2:$H$127,2,FALSE))</f>
        <v/>
      </c>
      <c r="D60" s="218"/>
      <c r="E60" s="218"/>
      <c r="F60" s="204"/>
      <c r="G60" s="209"/>
      <c r="H60" s="208"/>
      <c r="I60" s="153" t="str">
        <f>IF($B60=0,"",VLOOKUP($B60,Materials!$B$2:$H$127,5,FALSE))</f>
        <v/>
      </c>
      <c r="J60" s="142" t="str">
        <f>IF($B60=0,"",VLOOKUP($B60,Materials!$B$2:$H$127,7,FALSE))</f>
        <v/>
      </c>
      <c r="K60" s="150">
        <f>IF(B60=0,0,ROUND(G60*H60*J60,2))</f>
        <v>0</v>
      </c>
      <c r="L60" s="145"/>
    </row>
    <row r="61" spans="1:12" x14ac:dyDescent="0.2">
      <c r="B61" s="202" t="s">
        <v>452</v>
      </c>
      <c r="C61" s="218" t="str">
        <f>IF(B61=0,0,"Crop Insurance")</f>
        <v>Crop Insurance</v>
      </c>
      <c r="D61" s="218"/>
      <c r="E61" s="218"/>
      <c r="F61" s="144"/>
      <c r="G61" s="199"/>
      <c r="H61" s="200"/>
      <c r="I61" s="192"/>
      <c r="J61" s="142">
        <v>10.56</v>
      </c>
      <c r="K61" s="142">
        <f>IF(B61=0,0,J61)</f>
        <v>10.56</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77">
        <f>SUM(K37:K61)</f>
        <v>190.19</v>
      </c>
      <c r="L63" s="143"/>
    </row>
    <row r="64" spans="1:12" ht="22.5" customHeight="1" x14ac:dyDescent="0.2">
      <c r="B64" s="233" t="s">
        <v>598</v>
      </c>
      <c r="C64" s="233"/>
      <c r="K64" s="162"/>
    </row>
    <row r="65" spans="2:12" x14ac:dyDescent="0.2">
      <c r="B65" s="140" t="s">
        <v>562</v>
      </c>
      <c r="K65" s="177">
        <f>K33+K63</f>
        <v>277.75</v>
      </c>
      <c r="L65" s="143"/>
    </row>
    <row r="66" spans="2:12" ht="13.5" thickBot="1" x14ac:dyDescent="0.25">
      <c r="D66" s="162" t="s">
        <v>580</v>
      </c>
      <c r="E66" s="163">
        <f>ROUND(SUM($E$33:$H$33)+$K$63,2)</f>
        <v>249.74</v>
      </c>
      <c r="F66" s="220" t="s">
        <v>360</v>
      </c>
      <c r="G66" s="220"/>
      <c r="H66" s="164">
        <f>'General Variables'!$B$11</f>
        <v>5.5E-2</v>
      </c>
      <c r="I66" s="165" t="str">
        <f>CONCATENATE("for ",TEXT('General Variables'!$B$12,"0.0")," mo.")</f>
        <v>for 6.0 mo.</v>
      </c>
      <c r="K66" s="181">
        <f>E66*H66*'General Variables'!$B$12/12</f>
        <v>6.8678500000000007</v>
      </c>
      <c r="L66" s="167"/>
    </row>
    <row r="67" spans="2:12" ht="13.5" thickTop="1" x14ac:dyDescent="0.2">
      <c r="B67" s="140" t="s">
        <v>364</v>
      </c>
      <c r="K67" s="177">
        <f>SUM(K65:K66)</f>
        <v>284.61784999999998</v>
      </c>
      <c r="L67" s="143"/>
    </row>
    <row r="68" spans="2:12" x14ac:dyDescent="0.2">
      <c r="K68" s="162"/>
    </row>
    <row r="69" spans="2:12" x14ac:dyDescent="0.2">
      <c r="B69" s="168" t="s">
        <v>596</v>
      </c>
      <c r="C69" s="169"/>
      <c r="D69" s="169"/>
      <c r="E69" s="169"/>
      <c r="F69" s="169"/>
      <c r="G69" s="169"/>
      <c r="H69" s="169"/>
      <c r="I69" s="169"/>
      <c r="J69" s="169"/>
      <c r="K69" s="182">
        <f>'General Variables'!B14</f>
        <v>20</v>
      </c>
      <c r="L69" s="143"/>
    </row>
    <row r="70" spans="2:12" x14ac:dyDescent="0.2">
      <c r="B70" s="129" t="s">
        <v>367</v>
      </c>
      <c r="C70" s="230" t="s">
        <v>372</v>
      </c>
      <c r="D70" s="231"/>
      <c r="E70" s="232"/>
      <c r="F70" s="171">
        <f>IF(C70=0,0,VLOOKUP(C70,RETable,2,FALSE))</f>
        <v>3625</v>
      </c>
      <c r="G70" s="220" t="s">
        <v>368</v>
      </c>
      <c r="H70" s="220"/>
      <c r="I70" s="164">
        <f>'General Variables'!$B$10</f>
        <v>0.04</v>
      </c>
      <c r="K70" s="183">
        <f>ROUND(F70*I70,2)</f>
        <v>145</v>
      </c>
      <c r="L70" s="143"/>
    </row>
    <row r="71" spans="2:12" ht="13.5" thickBot="1" x14ac:dyDescent="0.25">
      <c r="B71" s="129" t="s">
        <v>376</v>
      </c>
      <c r="F71" s="173">
        <f>IF(C70=0,0,VLOOKUP(C70,RETable,2,FALSE))</f>
        <v>3625</v>
      </c>
      <c r="G71" s="219" t="s">
        <v>368</v>
      </c>
      <c r="H71" s="219"/>
      <c r="I71" s="174">
        <f>'General Variables'!$B$13</f>
        <v>0.01</v>
      </c>
      <c r="J71" s="175"/>
      <c r="K71" s="184">
        <f>ROUND(F71*I71,2)</f>
        <v>36.25</v>
      </c>
      <c r="L71" s="167"/>
    </row>
    <row r="72" spans="2:12" ht="13.5" thickTop="1" x14ac:dyDescent="0.2">
      <c r="B72" s="140" t="s">
        <v>383</v>
      </c>
      <c r="K72" s="177">
        <f>SUM(K67:K71)</f>
        <v>485.86784999999998</v>
      </c>
      <c r="L72" s="143"/>
    </row>
    <row r="73" spans="2:12" x14ac:dyDescent="0.2">
      <c r="K73" s="162"/>
    </row>
    <row r="74" spans="2:12" x14ac:dyDescent="0.2">
      <c r="B74" s="140" t="str">
        <f>"Cost per "&amp;$B$4</f>
        <v>Cost per Bu</v>
      </c>
      <c r="K74" s="177">
        <f>IF(A4="Yield",0,K72/A4)</f>
        <v>5.7160923529411765</v>
      </c>
      <c r="L74" s="143"/>
    </row>
    <row r="75" spans="2:12" x14ac:dyDescent="0.2">
      <c r="B75" s="178" t="str">
        <f>"Cash Cost per "&amp;$B$4</f>
        <v>Cash Cost per Bu</v>
      </c>
      <c r="C75" s="175"/>
      <c r="D75" s="175"/>
      <c r="E75" s="175"/>
      <c r="F75" s="175"/>
      <c r="G75" s="175"/>
      <c r="H75" s="175"/>
      <c r="I75" s="175"/>
      <c r="J75" s="175"/>
      <c r="K75" s="179">
        <f>IF(A4="Yield",0,(E66+K66)/A4)</f>
        <v>3.0189158823529412</v>
      </c>
      <c r="L75" s="186"/>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506</v>
      </c>
    </row>
    <row r="112" spans="2:11" x14ac:dyDescent="0.2">
      <c r="B112" s="175"/>
      <c r="C112" s="175"/>
      <c r="D112" s="175"/>
      <c r="H112" s="129" t="str">
        <f>'General Variables'!A20</f>
        <v>Corn Irrigated</v>
      </c>
      <c r="K112" s="129" t="s">
        <v>507</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5">
    <mergeCell ref="F66:G66"/>
    <mergeCell ref="C70:E70"/>
    <mergeCell ref="G70:H70"/>
    <mergeCell ref="G71:H71"/>
    <mergeCell ref="C56:E56"/>
    <mergeCell ref="C57:E57"/>
    <mergeCell ref="C58:E58"/>
    <mergeCell ref="C59:E59"/>
    <mergeCell ref="C60:E60"/>
    <mergeCell ref="C61:E61"/>
    <mergeCell ref="B64:C64"/>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D12:D32">
      <formula1>$O$2:$O$4</formula1>
    </dataValidation>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activeCell="H27" sqref="H27"/>
    </sheetView>
  </sheetViews>
  <sheetFormatPr defaultRowHeight="12.75" x14ac:dyDescent="0.2"/>
  <cols>
    <col min="1" max="1" width="24" style="7" customWidth="1"/>
    <col min="2" max="2" width="10.42578125" style="7" customWidth="1"/>
    <col min="3" max="3" width="8.140625" style="7" customWidth="1"/>
    <col min="4" max="4" width="9.140625" style="7"/>
    <col min="5" max="5" width="17.5703125" style="7" customWidth="1"/>
    <col min="6" max="6" width="9.42578125" style="7" customWidth="1"/>
    <col min="7" max="7" width="7" style="7" customWidth="1"/>
    <col min="8" max="8" width="17.5703125" style="7" customWidth="1"/>
    <col min="9" max="9" width="10.28515625" style="7" customWidth="1"/>
    <col min="10" max="10" width="4.7109375" style="7" customWidth="1"/>
    <col min="11" max="11" width="15.85546875" style="7" customWidth="1"/>
    <col min="12" max="12" width="9.140625" style="7"/>
    <col min="13" max="13" width="12.140625" style="7" customWidth="1"/>
    <col min="14" max="16384" width="9.140625" style="7"/>
  </cols>
  <sheetData>
    <row r="1" spans="1:14" ht="33" x14ac:dyDescent="0.45">
      <c r="A1" s="212" t="s">
        <v>517</v>
      </c>
      <c r="B1" s="212"/>
      <c r="C1" s="212"/>
      <c r="D1" s="212"/>
      <c r="E1" s="212"/>
      <c r="F1" s="212"/>
      <c r="G1" s="212"/>
      <c r="H1" s="212"/>
      <c r="I1" s="212"/>
    </row>
    <row r="3" spans="1:14" ht="15.75" x14ac:dyDescent="0.25">
      <c r="A3" s="8" t="s">
        <v>341</v>
      </c>
      <c r="B3" s="15">
        <v>2016</v>
      </c>
      <c r="C3" s="19"/>
      <c r="E3" s="77" t="s">
        <v>373</v>
      </c>
      <c r="M3" s="11"/>
      <c r="N3" s="11"/>
    </row>
    <row r="4" spans="1:14" x14ac:dyDescent="0.2">
      <c r="A4" s="9" t="s">
        <v>76</v>
      </c>
      <c r="B4" s="13">
        <v>20</v>
      </c>
      <c r="C4" s="20" t="s">
        <v>79</v>
      </c>
      <c r="E4" s="7" t="s">
        <v>374</v>
      </c>
      <c r="F4" s="7" t="s">
        <v>375</v>
      </c>
    </row>
    <row r="5" spans="1:14" x14ac:dyDescent="0.2">
      <c r="A5" s="9" t="s">
        <v>77</v>
      </c>
      <c r="B5" s="13">
        <v>2.25</v>
      </c>
      <c r="C5" s="21" t="s">
        <v>597</v>
      </c>
      <c r="E5" s="23" t="s">
        <v>420</v>
      </c>
      <c r="F5" s="78">
        <v>3390</v>
      </c>
    </row>
    <row r="6" spans="1:14" x14ac:dyDescent="0.2">
      <c r="A6" s="10" t="s">
        <v>385</v>
      </c>
      <c r="B6" s="16">
        <v>1.1499999999999999</v>
      </c>
      <c r="C6" s="21"/>
      <c r="E6" s="23" t="s">
        <v>427</v>
      </c>
      <c r="F6" s="78">
        <v>730</v>
      </c>
    </row>
    <row r="7" spans="1:14" x14ac:dyDescent="0.2">
      <c r="A7" s="10" t="s">
        <v>386</v>
      </c>
      <c r="B7" s="70">
        <f>B5*B6</f>
        <v>2.5874999999999999</v>
      </c>
      <c r="C7" s="20" t="s">
        <v>597</v>
      </c>
      <c r="E7" s="23" t="s">
        <v>369</v>
      </c>
      <c r="F7" s="78">
        <v>6900</v>
      </c>
    </row>
    <row r="8" spans="1:14" x14ac:dyDescent="0.2">
      <c r="A8" s="9" t="s">
        <v>78</v>
      </c>
      <c r="B8" s="14">
        <v>0.105</v>
      </c>
      <c r="C8" s="20" t="s">
        <v>80</v>
      </c>
      <c r="E8" s="23" t="s">
        <v>370</v>
      </c>
      <c r="F8" s="78">
        <v>3235</v>
      </c>
    </row>
    <row r="9" spans="1:14" x14ac:dyDescent="0.2">
      <c r="A9" s="9" t="s">
        <v>340</v>
      </c>
      <c r="B9" s="17">
        <v>0.02</v>
      </c>
      <c r="C9" s="22"/>
      <c r="E9" s="23" t="s">
        <v>371</v>
      </c>
      <c r="F9" s="78">
        <v>7315</v>
      </c>
    </row>
    <row r="10" spans="1:14" x14ac:dyDescent="0.2">
      <c r="A10" s="9" t="s">
        <v>91</v>
      </c>
      <c r="B10" s="17">
        <v>0.04</v>
      </c>
      <c r="C10" s="22"/>
      <c r="E10" s="23" t="s">
        <v>372</v>
      </c>
      <c r="F10" s="78">
        <v>3625</v>
      </c>
    </row>
    <row r="11" spans="1:14" x14ac:dyDescent="0.2">
      <c r="A11" s="9" t="s">
        <v>361</v>
      </c>
      <c r="B11" s="17">
        <v>5.5E-2</v>
      </c>
      <c r="C11" s="21"/>
      <c r="E11" s="12" t="s">
        <v>423</v>
      </c>
      <c r="F11" s="79">
        <v>1855</v>
      </c>
    </row>
    <row r="12" spans="1:14" x14ac:dyDescent="0.2">
      <c r="A12" s="9" t="s">
        <v>362</v>
      </c>
      <c r="B12" s="18">
        <v>6</v>
      </c>
      <c r="C12" s="21" t="s">
        <v>363</v>
      </c>
      <c r="E12" s="12" t="s">
        <v>88</v>
      </c>
      <c r="F12" s="79">
        <v>0</v>
      </c>
    </row>
    <row r="13" spans="1:14" ht="13.5" customHeight="1" x14ac:dyDescent="0.2">
      <c r="A13" s="9" t="s">
        <v>377</v>
      </c>
      <c r="B13" s="17">
        <v>0.01</v>
      </c>
      <c r="C13" s="21"/>
      <c r="E13" s="12" t="s">
        <v>527</v>
      </c>
      <c r="F13" s="79">
        <f>F9*0.7</f>
        <v>5120.5</v>
      </c>
    </row>
    <row r="14" spans="1:14" ht="12.75" customHeight="1" x14ac:dyDescent="0.2">
      <c r="A14" s="9" t="s">
        <v>404</v>
      </c>
      <c r="B14" s="13">
        <v>20</v>
      </c>
      <c r="C14" s="21"/>
      <c r="E14" s="23" t="s">
        <v>534</v>
      </c>
      <c r="F14" s="78">
        <v>5980</v>
      </c>
    </row>
    <row r="15" spans="1:14" ht="12.75" customHeight="1" x14ac:dyDescent="0.2">
      <c r="E15" s="23"/>
      <c r="F15" s="78"/>
    </row>
    <row r="16" spans="1:14" ht="12.75" customHeight="1" x14ac:dyDescent="0.2">
      <c r="A16" s="77" t="s">
        <v>366</v>
      </c>
    </row>
    <row r="17" spans="1:14" ht="12.75" customHeight="1" x14ac:dyDescent="0.2">
      <c r="A17" s="74" t="s">
        <v>445</v>
      </c>
      <c r="B17" s="74" t="s">
        <v>455</v>
      </c>
    </row>
    <row r="18" spans="1:14" ht="12.75" customHeight="1" x14ac:dyDescent="0.2">
      <c r="A18" s="72" t="s">
        <v>447</v>
      </c>
      <c r="B18" s="73">
        <v>23</v>
      </c>
    </row>
    <row r="19" spans="1:14" ht="12.75" customHeight="1" x14ac:dyDescent="0.2">
      <c r="A19" s="72" t="s">
        <v>530</v>
      </c>
      <c r="B19" s="73">
        <v>20</v>
      </c>
    </row>
    <row r="20" spans="1:14" ht="12.75" customHeight="1" x14ac:dyDescent="0.2">
      <c r="A20" s="72" t="s">
        <v>446</v>
      </c>
      <c r="B20" s="73">
        <v>10</v>
      </c>
    </row>
    <row r="21" spans="1:14" ht="12.75" customHeight="1" x14ac:dyDescent="0.2">
      <c r="A21" s="72" t="s">
        <v>519</v>
      </c>
      <c r="B21" s="73">
        <v>21</v>
      </c>
    </row>
    <row r="22" spans="1:14" ht="12.75" customHeight="1" x14ac:dyDescent="0.2">
      <c r="A22" s="72" t="s">
        <v>453</v>
      </c>
      <c r="B22" s="73">
        <v>11</v>
      </c>
    </row>
    <row r="23" spans="1:14" ht="12.75" customHeight="1" x14ac:dyDescent="0.2">
      <c r="A23" s="72" t="s">
        <v>454</v>
      </c>
      <c r="B23" s="73">
        <v>10</v>
      </c>
    </row>
    <row r="24" spans="1:14" ht="12.75" customHeight="1" x14ac:dyDescent="0.2">
      <c r="A24" s="72" t="s">
        <v>39</v>
      </c>
      <c r="B24" s="73">
        <v>15</v>
      </c>
    </row>
    <row r="25" spans="1:14" ht="12.75" customHeight="1" x14ac:dyDescent="0.2">
      <c r="A25" s="72" t="s">
        <v>42</v>
      </c>
      <c r="B25" s="73">
        <v>11</v>
      </c>
    </row>
    <row r="26" spans="1:14" x14ac:dyDescent="0.2">
      <c r="A26" s="72" t="s">
        <v>449</v>
      </c>
      <c r="B26" s="73">
        <v>16</v>
      </c>
    </row>
    <row r="27" spans="1:14" x14ac:dyDescent="0.2">
      <c r="A27" s="72" t="s">
        <v>448</v>
      </c>
      <c r="B27" s="73">
        <v>8.5</v>
      </c>
    </row>
    <row r="28" spans="1:14" x14ac:dyDescent="0.2">
      <c r="A28" s="72" t="s">
        <v>450</v>
      </c>
      <c r="B28" s="73">
        <v>20</v>
      </c>
    </row>
    <row r="29" spans="1:14" x14ac:dyDescent="0.2">
      <c r="A29" s="72" t="s">
        <v>515</v>
      </c>
      <c r="B29" s="73">
        <v>14</v>
      </c>
    </row>
    <row r="30" spans="1:14" x14ac:dyDescent="0.2">
      <c r="A30" s="72" t="s">
        <v>516</v>
      </c>
      <c r="B30" s="73">
        <v>19</v>
      </c>
    </row>
    <row r="31" spans="1:14" x14ac:dyDescent="0.2">
      <c r="A31" s="72" t="s">
        <v>456</v>
      </c>
      <c r="B31" s="73">
        <v>14.5</v>
      </c>
    </row>
    <row r="32" spans="1:14" x14ac:dyDescent="0.2">
      <c r="A32" s="72" t="s">
        <v>451</v>
      </c>
      <c r="B32" s="73">
        <v>9.5</v>
      </c>
      <c r="M32" s="7" t="s">
        <v>458</v>
      </c>
      <c r="N32" s="7" t="s">
        <v>459</v>
      </c>
    </row>
    <row r="33" spans="1:14" x14ac:dyDescent="0.2">
      <c r="A33" s="72" t="s">
        <v>452</v>
      </c>
      <c r="B33" s="72">
        <v>13.25</v>
      </c>
      <c r="L33" s="7">
        <v>1</v>
      </c>
      <c r="M33" s="7" t="s">
        <v>518</v>
      </c>
      <c r="N33" s="7" t="s">
        <v>460</v>
      </c>
    </row>
    <row r="34" spans="1:14" ht="13.5" customHeight="1" x14ac:dyDescent="0.2">
      <c r="L34" s="7">
        <v>2</v>
      </c>
      <c r="M34" s="7" t="s">
        <v>518</v>
      </c>
      <c r="N34" s="7" t="s">
        <v>460</v>
      </c>
    </row>
    <row r="35" spans="1:14" x14ac:dyDescent="0.2">
      <c r="L35" s="7">
        <v>3</v>
      </c>
      <c r="M35" s="7" t="s">
        <v>518</v>
      </c>
      <c r="N35" s="7" t="s">
        <v>460</v>
      </c>
    </row>
    <row r="36" spans="1:14" x14ac:dyDescent="0.2">
      <c r="L36" s="7">
        <v>4</v>
      </c>
      <c r="M36" s="7" t="s">
        <v>518</v>
      </c>
      <c r="N36" s="7" t="s">
        <v>460</v>
      </c>
    </row>
    <row r="37" spans="1:14" x14ac:dyDescent="0.2">
      <c r="L37" s="7">
        <v>5</v>
      </c>
      <c r="M37" s="7" t="s">
        <v>518</v>
      </c>
      <c r="N37" s="7" t="s">
        <v>460</v>
      </c>
    </row>
    <row r="38" spans="1:14" x14ac:dyDescent="0.2">
      <c r="L38" s="7">
        <v>6</v>
      </c>
      <c r="M38" s="7" t="s">
        <v>518</v>
      </c>
      <c r="N38" s="7" t="s">
        <v>460</v>
      </c>
    </row>
    <row r="39" spans="1:14" x14ac:dyDescent="0.2">
      <c r="L39" s="7">
        <v>7</v>
      </c>
      <c r="M39" s="7" t="s">
        <v>518</v>
      </c>
      <c r="N39" s="7" t="s">
        <v>460</v>
      </c>
    </row>
    <row r="40" spans="1:14" ht="13.5" thickBot="1" x14ac:dyDescent="0.25">
      <c r="A40" s="76" t="s">
        <v>458</v>
      </c>
      <c r="B40" s="76" t="s">
        <v>459</v>
      </c>
      <c r="D40" s="210" t="s">
        <v>458</v>
      </c>
      <c r="E40" s="211"/>
      <c r="F40" s="76" t="s">
        <v>459</v>
      </c>
      <c r="H40" s="76" t="s">
        <v>458</v>
      </c>
      <c r="I40" s="76" t="s">
        <v>459</v>
      </c>
      <c r="L40" s="7">
        <v>8</v>
      </c>
      <c r="M40" s="7" t="s">
        <v>518</v>
      </c>
      <c r="N40" s="7" t="s">
        <v>460</v>
      </c>
    </row>
    <row r="41" spans="1:14" ht="13.5" thickTop="1" x14ac:dyDescent="0.2">
      <c r="A41" s="75" t="str">
        <f>CONCATENATE(L33,"-",M33)</f>
        <v>1-Alfalfa</v>
      </c>
      <c r="B41" s="75" t="str">
        <f>N33</f>
        <v>N/A</v>
      </c>
      <c r="D41" s="213" t="str">
        <f t="shared" ref="D41:D62" si="0">CONCATENATE(L56,"-",M56)</f>
        <v>24-Corn</v>
      </c>
      <c r="E41" s="214" t="str">
        <f t="shared" ref="E41:E62" si="1">CONCATENATE(P33,"-",Q33)</f>
        <v>-</v>
      </c>
      <c r="F41" s="80" t="str">
        <f>N56</f>
        <v>Buffalo</v>
      </c>
      <c r="H41" s="75" t="str">
        <f t="shared" ref="H41:H62" si="2">CONCATENATE(L78,"-",M78)</f>
        <v>46-Soybeans</v>
      </c>
      <c r="I41" s="75" t="str">
        <f>N78</f>
        <v>Buffalo</v>
      </c>
      <c r="L41" s="7">
        <v>9</v>
      </c>
      <c r="M41" s="7" t="s">
        <v>518</v>
      </c>
      <c r="N41" s="7" t="s">
        <v>460</v>
      </c>
    </row>
    <row r="42" spans="1:14" x14ac:dyDescent="0.2">
      <c r="A42" s="75" t="str">
        <f t="shared" ref="A42:A63" si="3">CONCATENATE(L34,"-",M34)</f>
        <v>2-Alfalfa</v>
      </c>
      <c r="B42" s="75" t="str">
        <f t="shared" ref="B42:B63" si="4">N34</f>
        <v>N/A</v>
      </c>
      <c r="D42" s="213" t="str">
        <f t="shared" si="0"/>
        <v>25-Corn</v>
      </c>
      <c r="E42" s="214" t="str">
        <f t="shared" si="1"/>
        <v>-</v>
      </c>
      <c r="F42" s="80" t="str">
        <f t="shared" ref="F42:F62" si="5">N57</f>
        <v>Buffalo</v>
      </c>
      <c r="H42" s="75" t="str">
        <f t="shared" si="2"/>
        <v>47-Soybeans</v>
      </c>
      <c r="I42" s="75" t="str">
        <f t="shared" ref="I42:I62" si="6">N79</f>
        <v>Buffalo</v>
      </c>
      <c r="L42" s="7">
        <v>10</v>
      </c>
      <c r="M42" s="7" t="s">
        <v>518</v>
      </c>
      <c r="N42" s="7" t="s">
        <v>460</v>
      </c>
    </row>
    <row r="43" spans="1:14" x14ac:dyDescent="0.2">
      <c r="A43" s="75" t="str">
        <f t="shared" si="3"/>
        <v>3-Alfalfa</v>
      </c>
      <c r="B43" s="75" t="str">
        <f t="shared" si="4"/>
        <v>N/A</v>
      </c>
      <c r="D43" s="213" t="str">
        <f t="shared" si="0"/>
        <v>26-Corn</v>
      </c>
      <c r="E43" s="214" t="str">
        <f t="shared" si="1"/>
        <v>-</v>
      </c>
      <c r="F43" s="80" t="str">
        <f t="shared" si="5"/>
        <v>Buffalo</v>
      </c>
      <c r="H43" s="75" t="str">
        <f t="shared" si="2"/>
        <v>48-Soybeans</v>
      </c>
      <c r="I43" s="75" t="str">
        <f t="shared" si="6"/>
        <v>Buffalo</v>
      </c>
      <c r="L43" s="7">
        <v>11</v>
      </c>
      <c r="M43" s="7" t="s">
        <v>518</v>
      </c>
      <c r="N43" s="7" t="s">
        <v>460</v>
      </c>
    </row>
    <row r="44" spans="1:14" x14ac:dyDescent="0.2">
      <c r="A44" s="75" t="str">
        <f t="shared" si="3"/>
        <v>4-Alfalfa</v>
      </c>
      <c r="B44" s="75" t="str">
        <f t="shared" si="4"/>
        <v>N/A</v>
      </c>
      <c r="D44" s="213" t="str">
        <f t="shared" si="0"/>
        <v>27-Corn</v>
      </c>
      <c r="E44" s="214" t="str">
        <f t="shared" si="1"/>
        <v>-</v>
      </c>
      <c r="F44" s="80" t="str">
        <f t="shared" si="5"/>
        <v>Buffalo</v>
      </c>
      <c r="H44" s="75" t="str">
        <f t="shared" si="2"/>
        <v>49-Soybeans</v>
      </c>
      <c r="I44" s="75" t="str">
        <f t="shared" si="6"/>
        <v>Buffalo</v>
      </c>
      <c r="L44" s="7">
        <v>12</v>
      </c>
      <c r="M44" s="7" t="s">
        <v>518</v>
      </c>
      <c r="N44" s="7" t="s">
        <v>460</v>
      </c>
    </row>
    <row r="45" spans="1:14" x14ac:dyDescent="0.2">
      <c r="A45" s="75" t="str">
        <f t="shared" si="3"/>
        <v>5-Alfalfa</v>
      </c>
      <c r="B45" s="75" t="str">
        <f t="shared" si="4"/>
        <v>N/A</v>
      </c>
      <c r="D45" s="213" t="str">
        <f t="shared" si="0"/>
        <v>28-Corn</v>
      </c>
      <c r="E45" s="214" t="str">
        <f t="shared" si="1"/>
        <v>-</v>
      </c>
      <c r="F45" s="80" t="str">
        <f t="shared" si="5"/>
        <v>Buffalo</v>
      </c>
      <c r="H45" s="75" t="str">
        <f t="shared" si="2"/>
        <v>50-Soybeans</v>
      </c>
      <c r="I45" s="75" t="str">
        <f t="shared" si="6"/>
        <v>Buffalo</v>
      </c>
      <c r="L45" s="7">
        <v>13</v>
      </c>
      <c r="M45" s="7" t="s">
        <v>518</v>
      </c>
      <c r="N45" s="7" t="s">
        <v>460</v>
      </c>
    </row>
    <row r="46" spans="1:14" x14ac:dyDescent="0.2">
      <c r="A46" s="75" t="str">
        <f t="shared" si="3"/>
        <v>6-Alfalfa</v>
      </c>
      <c r="B46" s="75" t="str">
        <f t="shared" si="4"/>
        <v>N/A</v>
      </c>
      <c r="D46" s="213" t="str">
        <f t="shared" si="0"/>
        <v>29-Corn</v>
      </c>
      <c r="E46" s="214" t="str">
        <f t="shared" si="1"/>
        <v>-</v>
      </c>
      <c r="F46" s="80" t="str">
        <f t="shared" si="5"/>
        <v>Buffalo</v>
      </c>
      <c r="H46" s="75" t="str">
        <f t="shared" si="2"/>
        <v>51-Soybeans</v>
      </c>
      <c r="I46" s="75" t="str">
        <f t="shared" si="6"/>
        <v>Buffalo</v>
      </c>
      <c r="L46" s="7">
        <v>14</v>
      </c>
      <c r="M46" s="7" t="s">
        <v>518</v>
      </c>
      <c r="N46" s="7" t="s">
        <v>460</v>
      </c>
    </row>
    <row r="47" spans="1:14" x14ac:dyDescent="0.2">
      <c r="A47" s="75" t="str">
        <f t="shared" si="3"/>
        <v>7-Alfalfa</v>
      </c>
      <c r="B47" s="75" t="str">
        <f t="shared" si="4"/>
        <v>N/A</v>
      </c>
      <c r="D47" s="213" t="str">
        <f t="shared" si="0"/>
        <v>30-Dry Beans</v>
      </c>
      <c r="E47" s="214" t="str">
        <f t="shared" si="1"/>
        <v>-</v>
      </c>
      <c r="F47" s="80" t="str">
        <f t="shared" si="5"/>
        <v>Cheyenne</v>
      </c>
      <c r="H47" s="75" t="str">
        <f t="shared" si="2"/>
        <v>52-Soybeans</v>
      </c>
      <c r="I47" s="75" t="str">
        <f t="shared" si="6"/>
        <v>Buffalo</v>
      </c>
      <c r="L47" s="7">
        <v>15</v>
      </c>
      <c r="M47" s="7" t="s">
        <v>23</v>
      </c>
      <c r="N47" s="7" t="s">
        <v>461</v>
      </c>
    </row>
    <row r="48" spans="1:14" x14ac:dyDescent="0.2">
      <c r="A48" s="75" t="str">
        <f t="shared" si="3"/>
        <v>8-Alfalfa</v>
      </c>
      <c r="B48" s="75" t="str">
        <f t="shared" si="4"/>
        <v>N/A</v>
      </c>
      <c r="D48" s="213" t="str">
        <f t="shared" si="0"/>
        <v>31-Dry Beans</v>
      </c>
      <c r="E48" s="214" t="str">
        <f t="shared" si="1"/>
        <v>-</v>
      </c>
      <c r="F48" s="80" t="str">
        <f t="shared" si="5"/>
        <v>Cheyenne</v>
      </c>
      <c r="H48" s="75" t="str">
        <f t="shared" si="2"/>
        <v>53-Soybeans</v>
      </c>
      <c r="I48" s="75" t="str">
        <f t="shared" si="6"/>
        <v>Buffalo</v>
      </c>
      <c r="L48" s="7">
        <v>16</v>
      </c>
      <c r="M48" s="7" t="s">
        <v>23</v>
      </c>
      <c r="N48" s="7" t="s">
        <v>461</v>
      </c>
    </row>
    <row r="49" spans="1:14" x14ac:dyDescent="0.2">
      <c r="A49" s="75" t="str">
        <f t="shared" si="3"/>
        <v>9-Alfalfa</v>
      </c>
      <c r="B49" s="75" t="str">
        <f t="shared" si="4"/>
        <v>N/A</v>
      </c>
      <c r="D49" s="213" t="str">
        <f t="shared" si="0"/>
        <v>32-Dry Beans</v>
      </c>
      <c r="E49" s="214" t="str">
        <f t="shared" si="1"/>
        <v>-</v>
      </c>
      <c r="F49" s="80" t="str">
        <f t="shared" si="5"/>
        <v>Cheyenne</v>
      </c>
      <c r="H49" s="75" t="str">
        <f t="shared" si="2"/>
        <v>54-Sugar Beets</v>
      </c>
      <c r="I49" s="75" t="str">
        <f t="shared" si="6"/>
        <v>Box Butte</v>
      </c>
      <c r="L49" s="7">
        <v>17</v>
      </c>
      <c r="M49" s="7" t="s">
        <v>23</v>
      </c>
      <c r="N49" s="7" t="s">
        <v>461</v>
      </c>
    </row>
    <row r="50" spans="1:14" x14ac:dyDescent="0.2">
      <c r="A50" s="75" t="str">
        <f t="shared" si="3"/>
        <v>10-Alfalfa</v>
      </c>
      <c r="B50" s="75" t="str">
        <f t="shared" si="4"/>
        <v>N/A</v>
      </c>
      <c r="D50" s="213" t="str">
        <f t="shared" si="0"/>
        <v>33-Dry Beans</v>
      </c>
      <c r="E50" s="214" t="str">
        <f t="shared" si="1"/>
        <v>-</v>
      </c>
      <c r="F50" s="80" t="str">
        <f t="shared" si="5"/>
        <v>Cheyenne</v>
      </c>
      <c r="H50" s="75" t="str">
        <f t="shared" si="2"/>
        <v>55-Sugar Beets</v>
      </c>
      <c r="I50" s="75" t="str">
        <f t="shared" si="6"/>
        <v>Box Butte</v>
      </c>
      <c r="L50" s="7">
        <v>18</v>
      </c>
      <c r="M50" s="7" t="s">
        <v>23</v>
      </c>
      <c r="N50" s="7" t="s">
        <v>461</v>
      </c>
    </row>
    <row r="51" spans="1:14" x14ac:dyDescent="0.2">
      <c r="A51" s="75" t="str">
        <f t="shared" si="3"/>
        <v>11-Alfalfa</v>
      </c>
      <c r="B51" s="75" t="str">
        <f t="shared" si="4"/>
        <v>N/A</v>
      </c>
      <c r="D51" s="213" t="str">
        <f t="shared" si="0"/>
        <v>34-Grain Sorghum</v>
      </c>
      <c r="E51" s="214" t="str">
        <f t="shared" si="1"/>
        <v>-</v>
      </c>
      <c r="F51" s="80" t="str">
        <f t="shared" si="5"/>
        <v>Jefferson</v>
      </c>
      <c r="H51" s="75" t="str">
        <f t="shared" si="2"/>
        <v>56-Sugar Beets</v>
      </c>
      <c r="I51" s="75" t="str">
        <f t="shared" si="6"/>
        <v>Box Butte</v>
      </c>
      <c r="L51" s="7">
        <v>19</v>
      </c>
      <c r="M51" s="7" t="s">
        <v>23</v>
      </c>
      <c r="N51" s="7" t="s">
        <v>466</v>
      </c>
    </row>
    <row r="52" spans="1:14" x14ac:dyDescent="0.2">
      <c r="A52" s="75" t="str">
        <f t="shared" si="3"/>
        <v>12-Alfalfa</v>
      </c>
      <c r="B52" s="75" t="str">
        <f t="shared" si="4"/>
        <v>N/A</v>
      </c>
      <c r="D52" s="213" t="str">
        <f t="shared" si="0"/>
        <v>35-Grain Sorghum</v>
      </c>
      <c r="E52" s="214" t="str">
        <f t="shared" si="1"/>
        <v>-</v>
      </c>
      <c r="F52" s="80" t="str">
        <f t="shared" si="5"/>
        <v>Jefferson</v>
      </c>
      <c r="H52" s="75" t="str">
        <f t="shared" si="2"/>
        <v>57-Sugar Beets</v>
      </c>
      <c r="I52" s="75" t="str">
        <f t="shared" si="6"/>
        <v>Box Butte</v>
      </c>
      <c r="L52" s="7">
        <v>20</v>
      </c>
      <c r="M52" s="7" t="s">
        <v>23</v>
      </c>
      <c r="N52" s="7" t="s">
        <v>461</v>
      </c>
    </row>
    <row r="53" spans="1:14" x14ac:dyDescent="0.2">
      <c r="A53" s="75" t="str">
        <f t="shared" si="3"/>
        <v>13-Alfalfa</v>
      </c>
      <c r="B53" s="75" t="str">
        <f t="shared" si="4"/>
        <v>N/A</v>
      </c>
      <c r="D53" s="213" t="str">
        <f t="shared" si="0"/>
        <v>36-Grain Sorghum</v>
      </c>
      <c r="E53" s="214" t="str">
        <f t="shared" si="1"/>
        <v>-</v>
      </c>
      <c r="F53" s="80" t="str">
        <f t="shared" si="5"/>
        <v>Jefferson</v>
      </c>
      <c r="H53" s="75" t="str">
        <f t="shared" si="2"/>
        <v>58-Sunflower</v>
      </c>
      <c r="I53" s="75" t="str">
        <f t="shared" si="6"/>
        <v>Perkins</v>
      </c>
      <c r="L53" s="7">
        <v>21</v>
      </c>
      <c r="M53" s="7" t="s">
        <v>23</v>
      </c>
      <c r="N53" s="7" t="s">
        <v>461</v>
      </c>
    </row>
    <row r="54" spans="1:14" x14ac:dyDescent="0.2">
      <c r="A54" s="75" t="str">
        <f t="shared" si="3"/>
        <v>14-Alfalfa</v>
      </c>
      <c r="B54" s="75" t="str">
        <f t="shared" si="4"/>
        <v>N/A</v>
      </c>
      <c r="D54" s="213" t="str">
        <f t="shared" si="0"/>
        <v>37-Grain Sorghum</v>
      </c>
      <c r="E54" s="214" t="str">
        <f t="shared" si="1"/>
        <v>-</v>
      </c>
      <c r="F54" s="80" t="str">
        <f t="shared" si="5"/>
        <v>Jefferson</v>
      </c>
      <c r="H54" s="75" t="str">
        <f t="shared" si="2"/>
        <v>59-Sunflower</v>
      </c>
      <c r="I54" s="75" t="str">
        <f t="shared" si="6"/>
        <v>Perkins</v>
      </c>
      <c r="L54" s="7">
        <v>22</v>
      </c>
      <c r="M54" s="7" t="s">
        <v>23</v>
      </c>
      <c r="N54" s="7" t="s">
        <v>461</v>
      </c>
    </row>
    <row r="55" spans="1:14" x14ac:dyDescent="0.2">
      <c r="A55" s="75" t="str">
        <f t="shared" si="3"/>
        <v>15-Corn</v>
      </c>
      <c r="B55" s="75" t="str">
        <f t="shared" si="4"/>
        <v>Buffalo</v>
      </c>
      <c r="D55" s="213" t="str">
        <f t="shared" si="0"/>
        <v>38-Grass</v>
      </c>
      <c r="E55" s="214" t="str">
        <f t="shared" si="1"/>
        <v>-</v>
      </c>
      <c r="F55" s="80" t="str">
        <f t="shared" si="5"/>
        <v>N/A</v>
      </c>
      <c r="H55" s="75" t="str">
        <f t="shared" si="2"/>
        <v>60-Sunflower</v>
      </c>
      <c r="I55" s="75" t="str">
        <f t="shared" si="6"/>
        <v>Perkins</v>
      </c>
      <c r="L55" s="7">
        <v>23</v>
      </c>
      <c r="M55" s="7" t="s">
        <v>23</v>
      </c>
      <c r="N55" s="7" t="s">
        <v>461</v>
      </c>
    </row>
    <row r="56" spans="1:14" x14ac:dyDescent="0.2">
      <c r="A56" s="75" t="str">
        <f t="shared" si="3"/>
        <v>16-Corn</v>
      </c>
      <c r="B56" s="75" t="str">
        <f t="shared" si="4"/>
        <v>Buffalo</v>
      </c>
      <c r="D56" s="213" t="str">
        <f t="shared" si="0"/>
        <v>39-Grass Hay</v>
      </c>
      <c r="E56" s="214" t="str">
        <f t="shared" si="1"/>
        <v>-</v>
      </c>
      <c r="F56" s="80" t="str">
        <f t="shared" si="5"/>
        <v>N/A</v>
      </c>
      <c r="H56" s="75" t="str">
        <f t="shared" si="2"/>
        <v>61-Wheat</v>
      </c>
      <c r="I56" s="75" t="str">
        <f t="shared" si="6"/>
        <v>Keith</v>
      </c>
      <c r="L56" s="7">
        <v>24</v>
      </c>
      <c r="M56" s="7" t="s">
        <v>23</v>
      </c>
      <c r="N56" s="7" t="s">
        <v>461</v>
      </c>
    </row>
    <row r="57" spans="1:14" x14ac:dyDescent="0.2">
      <c r="A57" s="75" t="str">
        <f t="shared" si="3"/>
        <v>17-Corn</v>
      </c>
      <c r="B57" s="75" t="str">
        <f t="shared" si="4"/>
        <v>Buffalo</v>
      </c>
      <c r="D57" s="213" t="str">
        <f t="shared" si="0"/>
        <v>40-Millet</v>
      </c>
      <c r="E57" s="214" t="str">
        <f t="shared" si="1"/>
        <v>-</v>
      </c>
      <c r="F57" s="80" t="str">
        <f t="shared" si="5"/>
        <v>Cheyenne</v>
      </c>
      <c r="H57" s="75" t="str">
        <f t="shared" si="2"/>
        <v>62-Wheat</v>
      </c>
      <c r="I57" s="75" t="str">
        <f t="shared" si="6"/>
        <v>Keith</v>
      </c>
      <c r="L57" s="7">
        <v>25</v>
      </c>
      <c r="M57" s="7" t="s">
        <v>23</v>
      </c>
      <c r="N57" s="7" t="s">
        <v>461</v>
      </c>
    </row>
    <row r="58" spans="1:14" x14ac:dyDescent="0.2">
      <c r="A58" s="75" t="str">
        <f t="shared" si="3"/>
        <v>18-Corn</v>
      </c>
      <c r="B58" s="75" t="str">
        <f t="shared" si="4"/>
        <v>Buffalo</v>
      </c>
      <c r="D58" s="213" t="str">
        <f t="shared" si="0"/>
        <v>41-Millet</v>
      </c>
      <c r="E58" s="214" t="str">
        <f t="shared" si="1"/>
        <v>-</v>
      </c>
      <c r="F58" s="80" t="str">
        <f t="shared" si="5"/>
        <v>Cheyenne</v>
      </c>
      <c r="H58" s="75" t="str">
        <f t="shared" si="2"/>
        <v>63-Wheat</v>
      </c>
      <c r="I58" s="75" t="str">
        <f t="shared" si="6"/>
        <v>Keith</v>
      </c>
      <c r="L58" s="7">
        <v>26</v>
      </c>
      <c r="M58" s="7" t="s">
        <v>23</v>
      </c>
      <c r="N58" s="7" t="s">
        <v>461</v>
      </c>
    </row>
    <row r="59" spans="1:14" x14ac:dyDescent="0.2">
      <c r="A59" s="75" t="str">
        <f t="shared" si="3"/>
        <v>19-Corn</v>
      </c>
      <c r="B59" s="75" t="str">
        <f t="shared" si="4"/>
        <v>Perkins</v>
      </c>
      <c r="D59" s="213" t="str">
        <f t="shared" si="0"/>
        <v>42-Oats</v>
      </c>
      <c r="E59" s="214" t="str">
        <f t="shared" si="1"/>
        <v>-</v>
      </c>
      <c r="F59" s="80" t="str">
        <f t="shared" si="5"/>
        <v>Burt</v>
      </c>
      <c r="H59" s="75" t="str">
        <f t="shared" si="2"/>
        <v>64-Wheat</v>
      </c>
      <c r="I59" s="75" t="str">
        <f t="shared" si="6"/>
        <v>Keith</v>
      </c>
      <c r="L59" s="7">
        <v>27</v>
      </c>
      <c r="M59" s="7" t="s">
        <v>23</v>
      </c>
      <c r="N59" s="7" t="s">
        <v>461</v>
      </c>
    </row>
    <row r="60" spans="1:14" x14ac:dyDescent="0.2">
      <c r="A60" s="75" t="str">
        <f t="shared" si="3"/>
        <v>20-Corn</v>
      </c>
      <c r="B60" s="75" t="str">
        <f t="shared" si="4"/>
        <v>Buffalo</v>
      </c>
      <c r="D60" s="213" t="str">
        <f t="shared" si="0"/>
        <v>43-Pasture</v>
      </c>
      <c r="E60" s="214" t="str">
        <f t="shared" si="1"/>
        <v>-</v>
      </c>
      <c r="F60" s="80" t="str">
        <f t="shared" si="5"/>
        <v>N/A</v>
      </c>
      <c r="H60" s="75" t="str">
        <f t="shared" si="2"/>
        <v>65-Wheat</v>
      </c>
      <c r="I60" s="75" t="str">
        <f t="shared" si="6"/>
        <v>Keith</v>
      </c>
      <c r="L60" s="7">
        <v>28</v>
      </c>
      <c r="M60" s="7" t="s">
        <v>23</v>
      </c>
      <c r="N60" s="7" t="s">
        <v>461</v>
      </c>
    </row>
    <row r="61" spans="1:14" x14ac:dyDescent="0.2">
      <c r="A61" s="75" t="str">
        <f t="shared" si="3"/>
        <v>21-Corn</v>
      </c>
      <c r="B61" s="75" t="str">
        <f t="shared" si="4"/>
        <v>Buffalo</v>
      </c>
      <c r="D61" s="213" t="str">
        <f t="shared" si="0"/>
        <v>44-Peas</v>
      </c>
      <c r="E61" s="214" t="str">
        <f t="shared" si="1"/>
        <v>-</v>
      </c>
      <c r="F61" s="80" t="str">
        <f t="shared" si="5"/>
        <v>N/A</v>
      </c>
      <c r="H61" s="75" t="str">
        <f t="shared" si="2"/>
        <v>66-Wheat</v>
      </c>
      <c r="I61" s="75" t="str">
        <f t="shared" si="6"/>
        <v>Keith</v>
      </c>
      <c r="L61" s="7">
        <v>29</v>
      </c>
      <c r="M61" s="7" t="s">
        <v>23</v>
      </c>
      <c r="N61" s="7" t="s">
        <v>461</v>
      </c>
    </row>
    <row r="62" spans="1:14" x14ac:dyDescent="0.2">
      <c r="A62" s="75" t="str">
        <f t="shared" si="3"/>
        <v>22-Corn</v>
      </c>
      <c r="B62" s="75" t="str">
        <f t="shared" si="4"/>
        <v>Buffalo</v>
      </c>
      <c r="D62" s="213" t="str">
        <f t="shared" si="0"/>
        <v>45-Sorghum-Sudan</v>
      </c>
      <c r="E62" s="214" t="str">
        <f t="shared" si="1"/>
        <v>-</v>
      </c>
      <c r="F62" s="80" t="str">
        <f t="shared" si="5"/>
        <v>N/A</v>
      </c>
      <c r="H62" s="75" t="str">
        <f t="shared" si="2"/>
        <v>67-Wheat</v>
      </c>
      <c r="I62" s="75" t="str">
        <f t="shared" si="6"/>
        <v>Keith</v>
      </c>
      <c r="L62" s="7">
        <v>30</v>
      </c>
      <c r="M62" s="7" t="s">
        <v>519</v>
      </c>
      <c r="N62" s="7" t="s">
        <v>462</v>
      </c>
    </row>
    <row r="63" spans="1:14" x14ac:dyDescent="0.2">
      <c r="A63" s="75" t="str">
        <f t="shared" si="3"/>
        <v>23-Corn</v>
      </c>
      <c r="B63" s="75" t="str">
        <f t="shared" si="4"/>
        <v>Buffalo</v>
      </c>
      <c r="L63" s="7">
        <v>31</v>
      </c>
      <c r="M63" s="7" t="s">
        <v>519</v>
      </c>
      <c r="N63" s="7" t="s">
        <v>462</v>
      </c>
    </row>
    <row r="64" spans="1:14" x14ac:dyDescent="0.2">
      <c r="L64" s="7">
        <v>32</v>
      </c>
      <c r="M64" s="7" t="s">
        <v>519</v>
      </c>
      <c r="N64" s="7" t="s">
        <v>462</v>
      </c>
    </row>
    <row r="65" spans="12:14" x14ac:dyDescent="0.2">
      <c r="L65" s="7">
        <v>33</v>
      </c>
      <c r="M65" s="7" t="s">
        <v>519</v>
      </c>
      <c r="N65" s="7" t="s">
        <v>462</v>
      </c>
    </row>
    <row r="66" spans="12:14" x14ac:dyDescent="0.2">
      <c r="L66" s="7">
        <v>34</v>
      </c>
      <c r="M66" s="7" t="s">
        <v>520</v>
      </c>
      <c r="N66" s="7" t="s">
        <v>463</v>
      </c>
    </row>
    <row r="67" spans="12:14" x14ac:dyDescent="0.2">
      <c r="L67" s="7">
        <v>35</v>
      </c>
      <c r="M67" s="7" t="s">
        <v>520</v>
      </c>
      <c r="N67" s="7" t="s">
        <v>463</v>
      </c>
    </row>
    <row r="68" spans="12:14" x14ac:dyDescent="0.2">
      <c r="L68" s="7">
        <v>36</v>
      </c>
      <c r="M68" s="7" t="s">
        <v>520</v>
      </c>
      <c r="N68" s="7" t="s">
        <v>463</v>
      </c>
    </row>
    <row r="69" spans="12:14" x14ac:dyDescent="0.2">
      <c r="L69" s="7">
        <v>37</v>
      </c>
      <c r="M69" s="7" t="s">
        <v>520</v>
      </c>
      <c r="N69" s="7" t="s">
        <v>463</v>
      </c>
    </row>
    <row r="70" spans="12:14" x14ac:dyDescent="0.2">
      <c r="L70" s="7">
        <v>38</v>
      </c>
      <c r="M70" s="7" t="s">
        <v>521</v>
      </c>
      <c r="N70" s="7" t="s">
        <v>460</v>
      </c>
    </row>
    <row r="71" spans="12:14" x14ac:dyDescent="0.2">
      <c r="L71" s="7">
        <v>39</v>
      </c>
      <c r="M71" s="7" t="s">
        <v>522</v>
      </c>
      <c r="N71" s="7" t="s">
        <v>460</v>
      </c>
    </row>
    <row r="72" spans="12:14" x14ac:dyDescent="0.2">
      <c r="L72" s="7">
        <v>40</v>
      </c>
      <c r="M72" s="7" t="s">
        <v>39</v>
      </c>
      <c r="N72" s="7" t="s">
        <v>462</v>
      </c>
    </row>
    <row r="73" spans="12:14" x14ac:dyDescent="0.2">
      <c r="L73" s="7">
        <v>41</v>
      </c>
      <c r="M73" s="7" t="s">
        <v>39</v>
      </c>
      <c r="N73" s="7" t="s">
        <v>462</v>
      </c>
    </row>
    <row r="74" spans="12:14" x14ac:dyDescent="0.2">
      <c r="L74" s="7">
        <v>42</v>
      </c>
      <c r="M74" s="7" t="s">
        <v>42</v>
      </c>
      <c r="N74" s="7" t="s">
        <v>464</v>
      </c>
    </row>
    <row r="75" spans="12:14" x14ac:dyDescent="0.2">
      <c r="L75" s="7">
        <v>43</v>
      </c>
      <c r="M75" s="7" t="s">
        <v>523</v>
      </c>
      <c r="N75" s="7" t="s">
        <v>460</v>
      </c>
    </row>
    <row r="76" spans="12:14" x14ac:dyDescent="0.2">
      <c r="L76" s="7">
        <v>44</v>
      </c>
      <c r="M76" s="7" t="s">
        <v>495</v>
      </c>
      <c r="N76" s="7" t="s">
        <v>460</v>
      </c>
    </row>
    <row r="77" spans="12:14" x14ac:dyDescent="0.2">
      <c r="L77" s="7">
        <v>45</v>
      </c>
      <c r="M77" s="7" t="s">
        <v>524</v>
      </c>
      <c r="N77" s="7" t="s">
        <v>460</v>
      </c>
    </row>
    <row r="78" spans="12:14" x14ac:dyDescent="0.2">
      <c r="L78" s="7">
        <v>46</v>
      </c>
      <c r="M78" s="7" t="s">
        <v>525</v>
      </c>
      <c r="N78" s="7" t="s">
        <v>461</v>
      </c>
    </row>
    <row r="79" spans="12:14" x14ac:dyDescent="0.2">
      <c r="L79" s="7">
        <v>47</v>
      </c>
      <c r="M79" s="7" t="s">
        <v>525</v>
      </c>
      <c r="N79" s="7" t="s">
        <v>461</v>
      </c>
    </row>
    <row r="80" spans="12:14" x14ac:dyDescent="0.2">
      <c r="L80" s="7">
        <v>48</v>
      </c>
      <c r="M80" s="7" t="s">
        <v>525</v>
      </c>
      <c r="N80" s="7" t="s">
        <v>461</v>
      </c>
    </row>
    <row r="81" spans="12:14" x14ac:dyDescent="0.2">
      <c r="L81" s="7">
        <v>49</v>
      </c>
      <c r="M81" s="7" t="s">
        <v>525</v>
      </c>
      <c r="N81" s="7" t="s">
        <v>461</v>
      </c>
    </row>
    <row r="82" spans="12:14" x14ac:dyDescent="0.2">
      <c r="L82" s="7">
        <v>50</v>
      </c>
      <c r="M82" s="7" t="s">
        <v>525</v>
      </c>
      <c r="N82" s="7" t="s">
        <v>461</v>
      </c>
    </row>
    <row r="83" spans="12:14" x14ac:dyDescent="0.2">
      <c r="L83" s="7">
        <v>51</v>
      </c>
      <c r="M83" s="7" t="s">
        <v>525</v>
      </c>
      <c r="N83" s="7" t="s">
        <v>461</v>
      </c>
    </row>
    <row r="84" spans="12:14" x14ac:dyDescent="0.2">
      <c r="L84" s="7">
        <v>52</v>
      </c>
      <c r="M84" s="7" t="s">
        <v>525</v>
      </c>
      <c r="N84" s="7" t="s">
        <v>461</v>
      </c>
    </row>
    <row r="85" spans="12:14" x14ac:dyDescent="0.2">
      <c r="L85" s="7">
        <v>53</v>
      </c>
      <c r="M85" s="7" t="s">
        <v>525</v>
      </c>
      <c r="N85" s="7" t="s">
        <v>461</v>
      </c>
    </row>
    <row r="86" spans="12:14" x14ac:dyDescent="0.2">
      <c r="L86" s="7">
        <v>54</v>
      </c>
      <c r="M86" s="7" t="s">
        <v>450</v>
      </c>
      <c r="N86" s="7" t="s">
        <v>465</v>
      </c>
    </row>
    <row r="87" spans="12:14" x14ac:dyDescent="0.2">
      <c r="L87" s="7">
        <v>55</v>
      </c>
      <c r="M87" s="7" t="s">
        <v>450</v>
      </c>
      <c r="N87" s="7" t="s">
        <v>465</v>
      </c>
    </row>
    <row r="88" spans="12:14" x14ac:dyDescent="0.2">
      <c r="L88" s="7">
        <v>56</v>
      </c>
      <c r="M88" s="7" t="s">
        <v>450</v>
      </c>
      <c r="N88" s="7" t="s">
        <v>465</v>
      </c>
    </row>
    <row r="89" spans="12:14" x14ac:dyDescent="0.2">
      <c r="L89" s="7">
        <v>57</v>
      </c>
      <c r="M89" s="7" t="s">
        <v>450</v>
      </c>
      <c r="N89" s="7" t="s">
        <v>465</v>
      </c>
    </row>
    <row r="90" spans="12:14" x14ac:dyDescent="0.2">
      <c r="L90" s="7">
        <v>58</v>
      </c>
      <c r="M90" s="7" t="s">
        <v>53</v>
      </c>
      <c r="N90" s="7" t="s">
        <v>466</v>
      </c>
    </row>
    <row r="91" spans="12:14" x14ac:dyDescent="0.2">
      <c r="L91" s="7">
        <v>59</v>
      </c>
      <c r="M91" s="7" t="s">
        <v>53</v>
      </c>
      <c r="N91" s="7" t="s">
        <v>466</v>
      </c>
    </row>
    <row r="92" spans="12:14" x14ac:dyDescent="0.2">
      <c r="L92" s="7">
        <v>60</v>
      </c>
      <c r="M92" s="7" t="s">
        <v>53</v>
      </c>
      <c r="N92" s="7" t="s">
        <v>466</v>
      </c>
    </row>
    <row r="93" spans="12:14" x14ac:dyDescent="0.2">
      <c r="L93" s="7">
        <v>61</v>
      </c>
      <c r="M93" s="7" t="s">
        <v>526</v>
      </c>
      <c r="N93" s="7" t="s">
        <v>467</v>
      </c>
    </row>
    <row r="94" spans="12:14" x14ac:dyDescent="0.2">
      <c r="L94" s="7">
        <v>62</v>
      </c>
      <c r="M94" s="7" t="s">
        <v>526</v>
      </c>
      <c r="N94" s="7" t="s">
        <v>467</v>
      </c>
    </row>
    <row r="95" spans="12:14" x14ac:dyDescent="0.2">
      <c r="L95" s="7">
        <v>63</v>
      </c>
      <c r="M95" s="7" t="s">
        <v>526</v>
      </c>
      <c r="N95" s="7" t="s">
        <v>467</v>
      </c>
    </row>
    <row r="96" spans="12:14" x14ac:dyDescent="0.2">
      <c r="L96" s="7">
        <v>64</v>
      </c>
      <c r="M96" s="7" t="s">
        <v>526</v>
      </c>
      <c r="N96" s="7" t="s">
        <v>467</v>
      </c>
    </row>
    <row r="97" spans="12:14" x14ac:dyDescent="0.2">
      <c r="L97" s="7">
        <v>65</v>
      </c>
      <c r="M97" s="7" t="s">
        <v>526</v>
      </c>
      <c r="N97" s="7" t="s">
        <v>467</v>
      </c>
    </row>
    <row r="98" spans="12:14" x14ac:dyDescent="0.2">
      <c r="L98" s="7">
        <v>66</v>
      </c>
      <c r="M98" s="7" t="s">
        <v>526</v>
      </c>
      <c r="N98" s="7" t="s">
        <v>467</v>
      </c>
    </row>
    <row r="99" spans="12:14" x14ac:dyDescent="0.2">
      <c r="L99" s="7">
        <v>67</v>
      </c>
      <c r="M99" s="7" t="s">
        <v>526</v>
      </c>
      <c r="N99" s="7" t="s">
        <v>467</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25"/>
  <sheetViews>
    <sheetView workbookViewId="0"/>
  </sheetViews>
  <sheetFormatPr defaultRowHeight="12.75" x14ac:dyDescent="0.2"/>
  <cols>
    <col min="1" max="1" width="20.7109375" style="35" customWidth="1"/>
    <col min="2" max="2" width="30.5703125" style="35" customWidth="1"/>
    <col min="3" max="3" width="35" style="35" customWidth="1"/>
    <col min="4" max="5" width="11.5703125" style="35" customWidth="1"/>
    <col min="6" max="6" width="13.28515625" style="35" customWidth="1"/>
    <col min="7" max="7" width="13.7109375" style="35" customWidth="1"/>
    <col min="8" max="9" width="11.7109375" style="35" customWidth="1"/>
    <col min="10" max="10" width="10.28515625" style="35" customWidth="1"/>
    <col min="11" max="11" width="13.28515625" style="35" customWidth="1"/>
    <col min="12" max="12" width="14" style="35" customWidth="1"/>
    <col min="13" max="13" width="12.28515625" style="35" customWidth="1"/>
    <col min="14" max="14" width="9.85546875" style="35" customWidth="1"/>
    <col min="15" max="16" width="11.7109375" style="35" customWidth="1"/>
    <col min="17" max="17" width="32.85546875" style="35" bestFit="1" customWidth="1"/>
    <col min="18" max="18" width="35.5703125" style="35" customWidth="1"/>
    <col min="19" max="19" width="18.42578125" style="35" customWidth="1"/>
    <col min="20" max="20" width="12.28515625" style="35" customWidth="1"/>
    <col min="21" max="21" width="16" style="35" customWidth="1"/>
    <col min="22" max="22" width="11" style="35" customWidth="1"/>
    <col min="23" max="23" width="25.28515625" style="35" bestFit="1" customWidth="1"/>
    <col min="24" max="24" width="26.5703125" style="35" customWidth="1"/>
    <col min="25" max="25" width="42.140625" style="35" customWidth="1"/>
    <col min="26" max="26" width="6.7109375" style="35" customWidth="1"/>
    <col min="27" max="27" width="7.85546875" style="35" customWidth="1"/>
    <col min="28" max="16384" width="9.140625" style="35"/>
  </cols>
  <sheetData>
    <row r="1" spans="1:28" ht="47.25" customHeight="1" x14ac:dyDescent="0.25">
      <c r="A1" s="30" t="s">
        <v>94</v>
      </c>
      <c r="B1" s="31" t="s">
        <v>92</v>
      </c>
      <c r="C1" s="32" t="s">
        <v>93</v>
      </c>
      <c r="D1" s="32" t="s">
        <v>89</v>
      </c>
      <c r="E1" s="33" t="s">
        <v>335</v>
      </c>
      <c r="F1" s="32" t="s">
        <v>90</v>
      </c>
      <c r="G1" s="32" t="s">
        <v>258</v>
      </c>
      <c r="H1" s="34" t="s">
        <v>336</v>
      </c>
      <c r="I1" s="33" t="s">
        <v>337</v>
      </c>
      <c r="J1" s="33" t="s">
        <v>259</v>
      </c>
      <c r="K1" s="33" t="s">
        <v>338</v>
      </c>
      <c r="L1" s="33" t="s">
        <v>339</v>
      </c>
      <c r="M1" s="33" t="s">
        <v>260</v>
      </c>
      <c r="N1" s="33" t="s">
        <v>342</v>
      </c>
      <c r="O1" s="33" t="s">
        <v>343</v>
      </c>
      <c r="P1" s="33" t="s">
        <v>344</v>
      </c>
      <c r="R1" s="36" t="s">
        <v>96</v>
      </c>
      <c r="S1" s="37" t="s">
        <v>97</v>
      </c>
      <c r="T1" s="37" t="s">
        <v>98</v>
      </c>
      <c r="U1" s="37" t="s">
        <v>99</v>
      </c>
      <c r="V1" s="38" t="s">
        <v>100</v>
      </c>
      <c r="X1" s="1" t="s">
        <v>196</v>
      </c>
      <c r="Y1" s="1" t="s">
        <v>96</v>
      </c>
      <c r="Z1" s="1" t="s">
        <v>197</v>
      </c>
      <c r="AA1" s="1" t="s">
        <v>198</v>
      </c>
      <c r="AB1" s="1" t="s">
        <v>199</v>
      </c>
    </row>
    <row r="2" spans="1:28" ht="15.75" x14ac:dyDescent="0.25">
      <c r="A2" s="24" t="s">
        <v>415</v>
      </c>
      <c r="B2" s="25" t="s">
        <v>262</v>
      </c>
      <c r="C2" s="26" t="s">
        <v>264</v>
      </c>
      <c r="D2" s="27">
        <v>317791</v>
      </c>
      <c r="E2" s="28"/>
      <c r="F2" s="28">
        <v>10</v>
      </c>
      <c r="G2" s="28">
        <v>1500</v>
      </c>
      <c r="H2" s="28">
        <v>300</v>
      </c>
      <c r="I2" s="3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40">
        <f>IF(PowerUnits[[#This Row],[Est. Hours per Year]]=0,0,(PowerUnits[[#This Row],[Calculated Beg Yr. Value]]-PowerUnits[[#This Row],[Calculated End Yr. Value]])/PowerUnits[[#This Row],[Est. Hours per Year]])</f>
        <v>27.617754525611574</v>
      </c>
      <c r="N2" s="40">
        <f>IF(PowerUnits[[#This Row],[Est. Hours per Year]]=0,0,PowerUnits[[#This Row],[Calculated Beg Yr. Value]]*'General Variables'!$B$9/PowerUnits[[#This Row],[Est. Hours per Year]])</f>
        <v>5.8639558784275136</v>
      </c>
      <c r="O2" s="40">
        <f>IF(PowerUnits[[#This Row],[Est. Hours per Year]]=0,0,PowerUnits[[#This Row],[Calculated Beg Yr. Value]]*'General Variables'!$B$10/PowerUnits[[#This Row],[Est. Hours per Year]])</f>
        <v>11.727911756855027</v>
      </c>
      <c r="P2" s="40">
        <f>SUM(PowerUnits[[#This Row],[Depreciation per Hour]:[Opportunity Cost per Hour]])</f>
        <v>45.209622160894114</v>
      </c>
      <c r="R2" s="41" t="s">
        <v>101</v>
      </c>
      <c r="S2" s="42" t="s">
        <v>102</v>
      </c>
      <c r="T2" s="43" t="s">
        <v>103</v>
      </c>
      <c r="U2" s="43" t="s">
        <v>104</v>
      </c>
      <c r="V2" s="44">
        <v>12000</v>
      </c>
      <c r="X2" s="1" t="s">
        <v>200</v>
      </c>
      <c r="Y2" s="1" t="s">
        <v>201</v>
      </c>
      <c r="Z2" s="1" t="s">
        <v>202</v>
      </c>
      <c r="AA2" s="1" t="s">
        <v>203</v>
      </c>
      <c r="AB2" s="1" t="s">
        <v>204</v>
      </c>
    </row>
    <row r="3" spans="1:28" ht="15.75" x14ac:dyDescent="0.25">
      <c r="A3" s="24" t="s">
        <v>416</v>
      </c>
      <c r="B3" s="25" t="s">
        <v>101</v>
      </c>
      <c r="C3" s="26" t="s">
        <v>264</v>
      </c>
      <c r="D3" s="27">
        <v>216382</v>
      </c>
      <c r="E3" s="28"/>
      <c r="F3" s="28">
        <v>5</v>
      </c>
      <c r="G3" s="28">
        <v>2500</v>
      </c>
      <c r="H3" s="28">
        <v>500</v>
      </c>
      <c r="I3" s="3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216382</v>
      </c>
      <c r="J3"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8.3307069999999985</v>
      </c>
      <c r="K3"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81816.57422473107</v>
      </c>
      <c r="L3"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72902.250837031068</v>
      </c>
      <c r="M3" s="40">
        <f>IF(PowerUnits[[#This Row],[Est. Hours per Year]]=0,0,(PowerUnits[[#This Row],[Calculated Beg Yr. Value]]-PowerUnits[[#This Row],[Calculated End Yr. Value]])/PowerUnits[[#This Row],[Est. Hours per Year]])</f>
        <v>17.828646775400003</v>
      </c>
      <c r="N3" s="40">
        <f>IF(PowerUnits[[#This Row],[Est. Hours per Year]]=0,0,PowerUnits[[#This Row],[Calculated Beg Yr. Value]]*'General Variables'!$B$9/PowerUnits[[#This Row],[Est. Hours per Year]])</f>
        <v>3.272662968989243</v>
      </c>
      <c r="O3" s="40">
        <f>IF(PowerUnits[[#This Row],[Est. Hours per Year]]=0,0,PowerUnits[[#This Row],[Calculated Beg Yr. Value]]*'General Variables'!$B$10/PowerUnits[[#This Row],[Est. Hours per Year]])</f>
        <v>6.5453259379784861</v>
      </c>
      <c r="P3" s="40">
        <f>SUM(PowerUnits[[#This Row],[Depreciation per Hour]:[Opportunity Cost per Hour]])</f>
        <v>27.646635682367734</v>
      </c>
      <c r="R3" s="45" t="s">
        <v>105</v>
      </c>
      <c r="S3" s="45" t="s">
        <v>102</v>
      </c>
      <c r="T3" s="46" t="s">
        <v>106</v>
      </c>
      <c r="U3" s="46" t="s">
        <v>104</v>
      </c>
      <c r="V3" s="47">
        <v>16000</v>
      </c>
      <c r="X3" s="1" t="s">
        <v>200</v>
      </c>
      <c r="Y3" s="1" t="s">
        <v>205</v>
      </c>
      <c r="Z3" s="1" t="s">
        <v>206</v>
      </c>
      <c r="AA3" s="1" t="s">
        <v>207</v>
      </c>
      <c r="AB3" s="1" t="s">
        <v>208</v>
      </c>
    </row>
    <row r="4" spans="1:28" ht="15.75" x14ac:dyDescent="0.25">
      <c r="A4" s="24" t="s">
        <v>256</v>
      </c>
      <c r="B4" s="25" t="s">
        <v>263</v>
      </c>
      <c r="C4" s="26" t="s">
        <v>261</v>
      </c>
      <c r="D4" s="27">
        <v>351122</v>
      </c>
      <c r="E4" s="28"/>
      <c r="F4" s="28">
        <v>10</v>
      </c>
      <c r="G4" s="28">
        <v>1500</v>
      </c>
      <c r="H4" s="28">
        <v>300</v>
      </c>
      <c r="I4" s="3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351122</v>
      </c>
      <c r="J4"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51.172367492608927</v>
      </c>
      <c r="K4"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32504.499725150927</v>
      </c>
      <c r="L4"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21872.905228175277</v>
      </c>
      <c r="M4" s="40">
        <f>IF(PowerUnits[[#This Row],[Est. Hours per Year]]=0,0,(PowerUnits[[#This Row],[Calculated Beg Yr. Value]]-PowerUnits[[#This Row],[Calculated End Yr. Value]])/PowerUnits[[#This Row],[Est. Hours per Year]])</f>
        <v>35.438648323252167</v>
      </c>
      <c r="N4" s="40">
        <f>IF(PowerUnits[[#This Row],[Est. Hours per Year]]=0,0,PowerUnits[[#This Row],[Calculated Beg Yr. Value]]*'General Variables'!$B$9/PowerUnits[[#This Row],[Est. Hours per Year]])</f>
        <v>2.1669666483433954</v>
      </c>
      <c r="O4" s="40">
        <f>IF(PowerUnits[[#This Row],[Est. Hours per Year]]=0,0,PowerUnits[[#This Row],[Calculated Beg Yr. Value]]*'General Variables'!$B$10/PowerUnits[[#This Row],[Est. Hours per Year]])</f>
        <v>4.3339332966867907</v>
      </c>
      <c r="P4" s="40">
        <f>SUM(PowerUnits[[#This Row],[Depreciation per Hour]:[Opportunity Cost per Hour]])</f>
        <v>41.939548268282351</v>
      </c>
      <c r="R4" s="45" t="s">
        <v>127</v>
      </c>
      <c r="S4" s="45" t="s">
        <v>108</v>
      </c>
      <c r="T4" s="46" t="s">
        <v>128</v>
      </c>
      <c r="U4" s="46" t="s">
        <v>129</v>
      </c>
      <c r="V4" s="47">
        <v>3000</v>
      </c>
      <c r="X4" s="1" t="s">
        <v>200</v>
      </c>
      <c r="Y4" s="1" t="s">
        <v>209</v>
      </c>
      <c r="Z4" s="1" t="s">
        <v>210</v>
      </c>
      <c r="AA4" s="1" t="s">
        <v>211</v>
      </c>
      <c r="AB4" s="1" t="s">
        <v>212</v>
      </c>
    </row>
    <row r="5" spans="1:28" ht="15.75" x14ac:dyDescent="0.25">
      <c r="A5" s="24" t="s">
        <v>302</v>
      </c>
      <c r="B5" s="25" t="s">
        <v>101</v>
      </c>
      <c r="C5" s="26" t="s">
        <v>387</v>
      </c>
      <c r="D5" s="27">
        <v>15750</v>
      </c>
      <c r="E5" s="29"/>
      <c r="F5" s="28">
        <v>10</v>
      </c>
      <c r="G5" s="28">
        <v>2400</v>
      </c>
      <c r="H5" s="28">
        <v>800</v>
      </c>
      <c r="I5" s="3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5"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5"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5419.2058740783887</v>
      </c>
      <c r="L5"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5029.265479007121</v>
      </c>
      <c r="M5" s="40">
        <f>IF(PowerUnits[[#This Row],[Est. Hours per Year]]=0,0,(PowerUnits[[#This Row],[Calculated Beg Yr. Value]]-PowerUnits[[#This Row],[Calculated End Yr. Value]])/PowerUnits[[#This Row],[Est. Hours per Year]])</f>
        <v>0.48742549383908451</v>
      </c>
      <c r="N5" s="40">
        <f>IF(PowerUnits[[#This Row],[Est. Hours per Year]]=0,0,PowerUnits[[#This Row],[Calculated Beg Yr. Value]]*'General Variables'!$B$9/PowerUnits[[#This Row],[Est. Hours per Year]])</f>
        <v>0.13548014685195972</v>
      </c>
      <c r="O5" s="40">
        <f>IF(PowerUnits[[#This Row],[Est. Hours per Year]]=0,0,PowerUnits[[#This Row],[Calculated Beg Yr. Value]]*'General Variables'!$B$10/PowerUnits[[#This Row],[Est. Hours per Year]])</f>
        <v>0.27096029370391944</v>
      </c>
      <c r="P5" s="40">
        <f>SUM(PowerUnits[[#This Row],[Depreciation per Hour]:[Opportunity Cost per Hour]])</f>
        <v>0.89386593439496376</v>
      </c>
      <c r="R5" s="45" t="s">
        <v>132</v>
      </c>
      <c r="S5" s="45" t="s">
        <v>108</v>
      </c>
      <c r="T5" s="46" t="s">
        <v>133</v>
      </c>
      <c r="U5" s="46" t="s">
        <v>110</v>
      </c>
      <c r="V5" s="47">
        <v>3000</v>
      </c>
      <c r="X5" s="1" t="s">
        <v>213</v>
      </c>
      <c r="Y5" s="1" t="s">
        <v>214</v>
      </c>
      <c r="Z5" s="1" t="s">
        <v>215</v>
      </c>
      <c r="AA5" s="1" t="s">
        <v>216</v>
      </c>
      <c r="AB5" s="1" t="s">
        <v>217</v>
      </c>
    </row>
    <row r="6" spans="1:28" ht="15.75" x14ac:dyDescent="0.25">
      <c r="A6" s="24" t="s">
        <v>304</v>
      </c>
      <c r="B6" s="25" t="s">
        <v>257</v>
      </c>
      <c r="C6" s="26" t="s">
        <v>303</v>
      </c>
      <c r="D6" s="27">
        <v>10500</v>
      </c>
      <c r="E6" s="28"/>
      <c r="F6" s="28">
        <v>5</v>
      </c>
      <c r="G6" s="28">
        <v>2400</v>
      </c>
      <c r="H6" s="28">
        <v>800</v>
      </c>
      <c r="I6" s="3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10500</v>
      </c>
      <c r="J6"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0.52664587763558968</v>
      </c>
      <c r="K6"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2509.7936837959542</v>
      </c>
      <c r="L6"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1897.4542788023984</v>
      </c>
      <c r="M6" s="40">
        <f>IF(PowerUnits[[#This Row],[Est. Hours per Year]]=0,0,(PowerUnits[[#This Row],[Calculated Beg Yr. Value]]-PowerUnits[[#This Row],[Calculated End Yr. Value]])/PowerUnits[[#This Row],[Est. Hours per Year]])</f>
        <v>0.76542425624194466</v>
      </c>
      <c r="N6" s="40">
        <f>IF(PowerUnits[[#This Row],[Est. Hours per Year]]=0,0,PowerUnits[[#This Row],[Calculated Beg Yr. Value]]*'General Variables'!$B$9/PowerUnits[[#This Row],[Est. Hours per Year]])</f>
        <v>6.2744842094898848E-2</v>
      </c>
      <c r="O6" s="40">
        <f>IF(PowerUnits[[#This Row],[Est. Hours per Year]]=0,0,PowerUnits[[#This Row],[Calculated Beg Yr. Value]]*'General Variables'!$B$10/PowerUnits[[#This Row],[Est. Hours per Year]])</f>
        <v>0.1254896841897977</v>
      </c>
      <c r="P6" s="40">
        <f>SUM(PowerUnits[[#This Row],[Depreciation per Hour]:[Opportunity Cost per Hour]])</f>
        <v>0.95365878252664116</v>
      </c>
      <c r="R6" s="45" t="s">
        <v>152</v>
      </c>
      <c r="S6" s="45" t="s">
        <v>108</v>
      </c>
      <c r="T6" s="46" t="s">
        <v>153</v>
      </c>
      <c r="U6" s="46" t="s">
        <v>104</v>
      </c>
      <c r="V6" s="47">
        <v>4000</v>
      </c>
      <c r="X6" s="1" t="s">
        <v>213</v>
      </c>
      <c r="Y6" s="1" t="s">
        <v>224</v>
      </c>
      <c r="Z6" s="1" t="s">
        <v>225</v>
      </c>
      <c r="AA6" s="1" t="s">
        <v>226</v>
      </c>
      <c r="AB6" s="1"/>
    </row>
    <row r="7" spans="1:28" ht="15.75" x14ac:dyDescent="0.25">
      <c r="A7" s="24" t="s">
        <v>357</v>
      </c>
      <c r="B7" s="25" t="s">
        <v>101</v>
      </c>
      <c r="C7" s="26" t="s">
        <v>303</v>
      </c>
      <c r="D7" s="27">
        <v>15750</v>
      </c>
      <c r="E7" s="29"/>
      <c r="F7" s="28">
        <v>10</v>
      </c>
      <c r="G7" s="28">
        <v>2400</v>
      </c>
      <c r="H7" s="28">
        <v>800</v>
      </c>
      <c r="I7" s="3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7"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7"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2554.9894483430598</v>
      </c>
      <c r="L7"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1868.7402672069179</v>
      </c>
      <c r="M7" s="40">
        <f>IF(PowerUnits[[#This Row],[Est. Hours per Year]]=0,0,(PowerUnits[[#This Row],[Calculated Beg Yr. Value]]-PowerUnits[[#This Row],[Calculated End Yr. Value]])/PowerUnits[[#This Row],[Est. Hours per Year]])</f>
        <v>0.85781147642017741</v>
      </c>
      <c r="N7" s="40">
        <f>IF(PowerUnits[[#This Row],[Est. Hours per Year]]=0,0,PowerUnits[[#This Row],[Calculated Beg Yr. Value]]*'General Variables'!$B$9/PowerUnits[[#This Row],[Est. Hours per Year]])</f>
        <v>6.3874736208576491E-2</v>
      </c>
      <c r="O7" s="40">
        <f>IF(PowerUnits[[#This Row],[Est. Hours per Year]]=0,0,PowerUnits[[#This Row],[Calculated Beg Yr. Value]]*'General Variables'!$B$10/PowerUnits[[#This Row],[Est. Hours per Year]])</f>
        <v>0.12774947241715298</v>
      </c>
      <c r="P7" s="40">
        <f>SUM(PowerUnits[[#This Row],[Depreciation per Hour]:[Opportunity Cost per Hour]])</f>
        <v>1.049435685045907</v>
      </c>
      <c r="R7" s="45" t="s">
        <v>181</v>
      </c>
      <c r="S7" s="45" t="s">
        <v>108</v>
      </c>
      <c r="T7" s="46" t="s">
        <v>182</v>
      </c>
      <c r="U7" s="46" t="s">
        <v>104</v>
      </c>
      <c r="V7" s="47">
        <v>3000</v>
      </c>
      <c r="X7" s="1" t="s">
        <v>234</v>
      </c>
      <c r="Y7" s="1" t="s">
        <v>235</v>
      </c>
      <c r="Z7" s="1" t="s">
        <v>236</v>
      </c>
      <c r="AA7" s="1" t="s">
        <v>237</v>
      </c>
      <c r="AB7" s="1" t="s">
        <v>238</v>
      </c>
    </row>
    <row r="8" spans="1:28" ht="15.75" x14ac:dyDescent="0.25">
      <c r="A8" s="24" t="s">
        <v>300</v>
      </c>
      <c r="B8" s="25" t="s">
        <v>417</v>
      </c>
      <c r="C8" s="26" t="s">
        <v>301</v>
      </c>
      <c r="D8" s="27">
        <v>148828</v>
      </c>
      <c r="E8" s="28"/>
      <c r="F8" s="28">
        <v>10</v>
      </c>
      <c r="G8" s="28">
        <v>2500</v>
      </c>
      <c r="H8" s="28">
        <v>120</v>
      </c>
      <c r="I8" s="3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148828</v>
      </c>
      <c r="J8"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22.859980800000024</v>
      </c>
      <c r="K8"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37689.6765119794</v>
      </c>
      <c r="L8"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35615.144929045433</v>
      </c>
      <c r="M8" s="40">
        <f>IF(PowerUnits[[#This Row],[Est. Hours per Year]]=0,0,(PowerUnits[[#This Row],[Calculated Beg Yr. Value]]-PowerUnits[[#This Row],[Calculated End Yr. Value]])/PowerUnits[[#This Row],[Est. Hours per Year]])</f>
        <v>17.28776319111639</v>
      </c>
      <c r="N8" s="40">
        <f>IF(PowerUnits[[#This Row],[Est. Hours per Year]]=0,0,PowerUnits[[#This Row],[Calculated Beg Yr. Value]]*'General Variables'!$B$9/PowerUnits[[#This Row],[Est. Hours per Year]])</f>
        <v>6.2816127519965663</v>
      </c>
      <c r="O8" s="40">
        <f>IF(PowerUnits[[#This Row],[Est. Hours per Year]]=0,0,PowerUnits[[#This Row],[Calculated Beg Yr. Value]]*'General Variables'!$B$10/PowerUnits[[#This Row],[Est. Hours per Year]])</f>
        <v>12.563225503993133</v>
      </c>
      <c r="P8" s="40">
        <f>SUM(PowerUnits[[#This Row],[Depreciation per Hour]:[Opportunity Cost per Hour]])</f>
        <v>36.13260144710609</v>
      </c>
      <c r="R8" s="1" t="s">
        <v>257</v>
      </c>
      <c r="S8" s="1" t="s">
        <v>184</v>
      </c>
      <c r="T8" s="2">
        <v>0.02</v>
      </c>
      <c r="U8" s="2">
        <v>1.5</v>
      </c>
      <c r="V8" s="4"/>
    </row>
    <row r="9" spans="1:28" x14ac:dyDescent="0.2">
      <c r="A9" s="24" t="s">
        <v>405</v>
      </c>
      <c r="B9" s="25"/>
      <c r="C9" s="26"/>
      <c r="D9" s="27"/>
      <c r="E9" s="28"/>
      <c r="F9" s="28"/>
      <c r="G9" s="28"/>
      <c r="H9" s="28"/>
      <c r="I9" s="3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40">
        <f>IF(PowerUnits[[#This Row],[Est. Hours per Year]]=0,0,(PowerUnits[[#This Row],[Calculated Beg Yr. Value]]-PowerUnits[[#This Row],[Calculated End Yr. Value]])/PowerUnits[[#This Row],[Est. Hours per Year]])</f>
        <v>0</v>
      </c>
      <c r="N9" s="40">
        <f>IF(PowerUnits[[#This Row],[Est. Hours per Year]]=0,0,PowerUnits[[#This Row],[Calculated Beg Yr. Value]]*'General Variables'!$B$9/PowerUnits[[#This Row],[Est. Hours per Year]])</f>
        <v>0</v>
      </c>
      <c r="O9" s="40">
        <f>IF(PowerUnits[[#This Row],[Est. Hours per Year]]=0,0,PowerUnits[[#This Row],[Calculated Beg Yr. Value]]*'General Variables'!$B$10/PowerUnits[[#This Row],[Est. Hours per Year]])</f>
        <v>0</v>
      </c>
      <c r="P9" s="40">
        <f>SUM(PowerUnits[[#This Row],[Depreciation per Hour]:[Opportunity Cost per Hour]])</f>
        <v>0</v>
      </c>
    </row>
    <row r="10" spans="1:28" x14ac:dyDescent="0.2">
      <c r="A10" s="24"/>
      <c r="B10" s="25"/>
      <c r="C10" s="26"/>
      <c r="D10" s="27"/>
      <c r="E10" s="28"/>
      <c r="F10" s="28"/>
      <c r="G10" s="28"/>
      <c r="H10" s="28"/>
      <c r="I10" s="3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40">
        <f>IF(PowerUnits[[#This Row],[Est. Hours per Year]]=0,0,(PowerUnits[[#This Row],[Calculated Beg Yr. Value]]-PowerUnits[[#This Row],[Calculated End Yr. Value]])/PowerUnits[[#This Row],[Est. Hours per Year]])</f>
        <v>0</v>
      </c>
      <c r="N10" s="40">
        <f>IF(PowerUnits[[#This Row],[Est. Hours per Year]]=0,0,PowerUnits[[#This Row],[Calculated Beg Yr. Value]]*'General Variables'!$B$9/PowerUnits[[#This Row],[Est. Hours per Year]])</f>
        <v>0</v>
      </c>
      <c r="O10" s="40">
        <f>IF(PowerUnits[[#This Row],[Est. Hours per Year]]=0,0,PowerUnits[[#This Row],[Calculated Beg Yr. Value]]*'General Variables'!$B$10/PowerUnits[[#This Row],[Est. Hours per Year]])</f>
        <v>0</v>
      </c>
      <c r="P10" s="40">
        <f>SUM(PowerUnits[[#This Row],[Depreciation per Hour]:[Opportunity Cost per Hour]])</f>
        <v>0</v>
      </c>
    </row>
    <row r="11" spans="1:28" x14ac:dyDescent="0.2">
      <c r="A11" s="24"/>
      <c r="B11" s="25"/>
      <c r="C11" s="26"/>
      <c r="D11" s="27"/>
      <c r="E11" s="28"/>
      <c r="F11" s="28"/>
      <c r="G11" s="28"/>
      <c r="H11" s="28"/>
      <c r="I11" s="3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40">
        <f>IF(PowerUnits[[#This Row],[Est. Hours per Year]]=0,0,(PowerUnits[[#This Row],[Calculated Beg Yr. Value]]-PowerUnits[[#This Row],[Calculated End Yr. Value]])/PowerUnits[[#This Row],[Est. Hours per Year]])</f>
        <v>0</v>
      </c>
      <c r="N11" s="40">
        <f>IF(PowerUnits[[#This Row],[Est. Hours per Year]]=0,0,PowerUnits[[#This Row],[Calculated Beg Yr. Value]]*'General Variables'!$B$9/PowerUnits[[#This Row],[Est. Hours per Year]])</f>
        <v>0</v>
      </c>
      <c r="O11" s="40">
        <f>IF(PowerUnits[[#This Row],[Est. Hours per Year]]=0,0,PowerUnits[[#This Row],[Calculated Beg Yr. Value]]*'General Variables'!$B$10/PowerUnits[[#This Row],[Est. Hours per Year]])</f>
        <v>0</v>
      </c>
      <c r="P11" s="40">
        <f>SUM(PowerUnits[[#This Row],[Depreciation per Hour]:[Opportunity Cost per Hour]])</f>
        <v>0</v>
      </c>
    </row>
    <row r="12" spans="1:28" x14ac:dyDescent="0.2">
      <c r="A12" s="24"/>
      <c r="B12" s="25"/>
      <c r="C12" s="26"/>
      <c r="D12" s="27"/>
      <c r="E12" s="28"/>
      <c r="F12" s="28"/>
      <c r="G12" s="28"/>
      <c r="H12" s="28"/>
      <c r="I12" s="3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40">
        <f>IF(PowerUnits[[#This Row],[Est. Hours per Year]]=0,0,(PowerUnits[[#This Row],[Calculated Beg Yr. Value]]-PowerUnits[[#This Row],[Calculated End Yr. Value]])/PowerUnits[[#This Row],[Est. Hours per Year]])</f>
        <v>0</v>
      </c>
      <c r="N12" s="40">
        <f>IF(PowerUnits[[#This Row],[Est. Hours per Year]]=0,0,PowerUnits[[#This Row],[Calculated Beg Yr. Value]]*'General Variables'!$B$9/PowerUnits[[#This Row],[Est. Hours per Year]])</f>
        <v>0</v>
      </c>
      <c r="O12" s="40">
        <f>IF(PowerUnits[[#This Row],[Est. Hours per Year]]=0,0,PowerUnits[[#This Row],[Calculated Beg Yr. Value]]*'General Variables'!$B$10/PowerUnits[[#This Row],[Est. Hours per Year]])</f>
        <v>0</v>
      </c>
      <c r="P12" s="40">
        <f>SUM(PowerUnits[[#This Row],[Depreciation per Hour]:[Opportunity Cost per Hour]])</f>
        <v>0</v>
      </c>
    </row>
    <row r="13" spans="1:28" ht="15.75" customHeight="1" x14ac:dyDescent="0.2"/>
    <row r="25" spans="4:4" x14ac:dyDescent="0.2">
      <c r="D25" s="128"/>
    </row>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I136"/>
  <sheetViews>
    <sheetView workbookViewId="0"/>
  </sheetViews>
  <sheetFormatPr defaultRowHeight="12.75" x14ac:dyDescent="0.2"/>
  <cols>
    <col min="1" max="1" width="9.140625" style="67"/>
    <col min="2" max="2" width="26.85546875" style="67" customWidth="1"/>
    <col min="3" max="3" width="13.85546875" style="67" customWidth="1"/>
    <col min="4" max="4" width="10.42578125" style="67" customWidth="1"/>
    <col min="5" max="5" width="15.7109375" style="67" customWidth="1"/>
    <col min="6" max="6" width="14.28515625" style="67" customWidth="1"/>
    <col min="7" max="7" width="11.140625" style="68" customWidth="1"/>
    <col min="8" max="8" width="15.42578125" style="67" customWidth="1"/>
    <col min="9" max="16384" width="9.140625" style="67"/>
  </cols>
  <sheetData>
    <row r="1" spans="1:9" s="66" customFormat="1" ht="26.25" customHeight="1" x14ac:dyDescent="0.2">
      <c r="A1" s="65" t="s">
        <v>414</v>
      </c>
      <c r="B1" s="100" t="s">
        <v>4</v>
      </c>
      <c r="C1" s="101" t="s">
        <v>5</v>
      </c>
      <c r="D1" s="101" t="s">
        <v>59</v>
      </c>
      <c r="E1" s="101" t="s">
        <v>60</v>
      </c>
      <c r="F1" s="101" t="s">
        <v>61</v>
      </c>
      <c r="G1" s="101" t="s">
        <v>63</v>
      </c>
      <c r="H1" s="102" t="s">
        <v>62</v>
      </c>
    </row>
    <row r="2" spans="1:9" ht="12.75" customHeight="1" x14ac:dyDescent="0.2">
      <c r="A2" s="67">
        <v>1</v>
      </c>
      <c r="B2" s="87" t="s">
        <v>6</v>
      </c>
      <c r="C2" s="88" t="s">
        <v>7</v>
      </c>
      <c r="D2" s="89">
        <v>2.8</v>
      </c>
      <c r="E2" s="90" t="s">
        <v>389</v>
      </c>
      <c r="F2" s="88" t="s">
        <v>389</v>
      </c>
      <c r="G2" s="92">
        <v>1</v>
      </c>
      <c r="H2" s="93">
        <f t="shared" ref="H2:H33" si="0">IF(G2=0,0,D2/G2)</f>
        <v>2.8</v>
      </c>
    </row>
    <row r="3" spans="1:9" ht="12.75" customHeight="1" x14ac:dyDescent="0.2">
      <c r="A3" s="67">
        <v>2</v>
      </c>
      <c r="B3" s="87" t="s">
        <v>8</v>
      </c>
      <c r="C3" s="88" t="s">
        <v>7</v>
      </c>
      <c r="D3" s="89">
        <v>2.85</v>
      </c>
      <c r="E3" s="90" t="s">
        <v>389</v>
      </c>
      <c r="F3" s="88" t="s">
        <v>389</v>
      </c>
      <c r="G3" s="92">
        <v>1</v>
      </c>
      <c r="H3" s="94">
        <f t="shared" si="0"/>
        <v>2.85</v>
      </c>
      <c r="I3" s="69"/>
    </row>
    <row r="4" spans="1:9" ht="12.75" customHeight="1" x14ac:dyDescent="0.2">
      <c r="A4" s="67">
        <v>3</v>
      </c>
      <c r="B4" s="97" t="s">
        <v>9</v>
      </c>
      <c r="C4" s="96" t="s">
        <v>7</v>
      </c>
      <c r="D4" s="95">
        <v>0.28000000000000003</v>
      </c>
      <c r="E4" s="96" t="s">
        <v>390</v>
      </c>
      <c r="F4" s="96" t="s">
        <v>390</v>
      </c>
      <c r="G4" s="92">
        <v>1</v>
      </c>
      <c r="H4" s="93">
        <f t="shared" si="0"/>
        <v>0.28000000000000003</v>
      </c>
      <c r="I4" s="69"/>
    </row>
    <row r="5" spans="1:9" ht="12.75" customHeight="1" x14ac:dyDescent="0.2">
      <c r="A5" s="67">
        <v>4</v>
      </c>
      <c r="B5" s="87" t="s">
        <v>10</v>
      </c>
      <c r="C5" s="88" t="s">
        <v>11</v>
      </c>
      <c r="D5" s="95">
        <v>15</v>
      </c>
      <c r="E5" s="96" t="s">
        <v>389</v>
      </c>
      <c r="F5" s="88" t="s">
        <v>392</v>
      </c>
      <c r="G5" s="92">
        <v>8</v>
      </c>
      <c r="H5" s="93">
        <f t="shared" si="0"/>
        <v>1.875</v>
      </c>
      <c r="I5" s="69"/>
    </row>
    <row r="6" spans="1:9" ht="12.75" customHeight="1" x14ac:dyDescent="0.2">
      <c r="A6" s="67">
        <v>5</v>
      </c>
      <c r="B6" s="87" t="s">
        <v>12</v>
      </c>
      <c r="C6" s="88" t="s">
        <v>11</v>
      </c>
      <c r="D6" s="95">
        <v>20.5</v>
      </c>
      <c r="E6" s="96" t="s">
        <v>389</v>
      </c>
      <c r="F6" s="88" t="s">
        <v>392</v>
      </c>
      <c r="G6" s="92">
        <v>8</v>
      </c>
      <c r="H6" s="94">
        <f t="shared" si="0"/>
        <v>2.5625</v>
      </c>
      <c r="I6" s="69"/>
    </row>
    <row r="7" spans="1:9" ht="12.75" customHeight="1" x14ac:dyDescent="0.2">
      <c r="A7" s="67">
        <v>6</v>
      </c>
      <c r="B7" s="87" t="s">
        <v>439</v>
      </c>
      <c r="C7" s="88" t="s">
        <v>470</v>
      </c>
      <c r="D7" s="89">
        <v>0.35</v>
      </c>
      <c r="E7" s="90" t="s">
        <v>390</v>
      </c>
      <c r="F7" s="91" t="s">
        <v>390</v>
      </c>
      <c r="G7" s="92">
        <v>1</v>
      </c>
      <c r="H7" s="93">
        <f t="shared" si="0"/>
        <v>0.35</v>
      </c>
      <c r="I7" s="69"/>
    </row>
    <row r="8" spans="1:9" ht="12.75" customHeight="1" x14ac:dyDescent="0.2">
      <c r="A8" s="67">
        <v>7</v>
      </c>
      <c r="B8" s="87" t="s">
        <v>13</v>
      </c>
      <c r="C8" s="88" t="s">
        <v>7</v>
      </c>
      <c r="D8" s="89">
        <v>1.4</v>
      </c>
      <c r="E8" s="90" t="s">
        <v>389</v>
      </c>
      <c r="F8" s="91" t="s">
        <v>396</v>
      </c>
      <c r="G8" s="92">
        <v>3</v>
      </c>
      <c r="H8" s="94">
        <f t="shared" si="0"/>
        <v>0.46666666666666662</v>
      </c>
      <c r="I8" s="69"/>
    </row>
    <row r="9" spans="1:9" ht="12.75" customHeight="1" x14ac:dyDescent="0.2">
      <c r="A9" s="67">
        <v>8</v>
      </c>
      <c r="B9" s="97" t="s">
        <v>398</v>
      </c>
      <c r="C9" s="96" t="s">
        <v>7</v>
      </c>
      <c r="D9" s="95">
        <v>0.47</v>
      </c>
      <c r="E9" s="96" t="s">
        <v>396</v>
      </c>
      <c r="F9" s="96" t="s">
        <v>396</v>
      </c>
      <c r="G9" s="92">
        <v>1</v>
      </c>
      <c r="H9" s="93">
        <f t="shared" si="0"/>
        <v>0.47</v>
      </c>
      <c r="I9" s="69"/>
    </row>
    <row r="10" spans="1:9" ht="12.75" customHeight="1" x14ac:dyDescent="0.2">
      <c r="A10" s="67">
        <v>9</v>
      </c>
      <c r="B10" s="87" t="s">
        <v>549</v>
      </c>
      <c r="C10" s="88" t="s">
        <v>470</v>
      </c>
      <c r="D10" s="89">
        <v>1.65</v>
      </c>
      <c r="E10" s="90" t="s">
        <v>389</v>
      </c>
      <c r="F10" s="88" t="s">
        <v>392</v>
      </c>
      <c r="G10" s="92">
        <v>8</v>
      </c>
      <c r="H10" s="94">
        <f t="shared" si="0"/>
        <v>0.20624999999999999</v>
      </c>
      <c r="I10" s="69"/>
    </row>
    <row r="11" spans="1:9" ht="12.75" customHeight="1" x14ac:dyDescent="0.2">
      <c r="A11" s="67">
        <v>10</v>
      </c>
      <c r="B11" s="97" t="s">
        <v>492</v>
      </c>
      <c r="C11" s="96" t="s">
        <v>7</v>
      </c>
      <c r="D11" s="95">
        <v>0.47</v>
      </c>
      <c r="E11" s="96" t="s">
        <v>396</v>
      </c>
      <c r="F11" s="96" t="s">
        <v>396</v>
      </c>
      <c r="G11" s="92">
        <v>1</v>
      </c>
      <c r="H11" s="94">
        <f t="shared" si="0"/>
        <v>0.47</v>
      </c>
      <c r="I11" s="69"/>
    </row>
    <row r="12" spans="1:9" ht="12.75" customHeight="1" x14ac:dyDescent="0.2">
      <c r="A12" s="67">
        <v>11</v>
      </c>
      <c r="B12" s="97" t="s">
        <v>477</v>
      </c>
      <c r="C12" s="96" t="s">
        <v>7</v>
      </c>
      <c r="D12" s="95">
        <v>0.47</v>
      </c>
      <c r="E12" s="96" t="s">
        <v>396</v>
      </c>
      <c r="F12" s="96" t="s">
        <v>396</v>
      </c>
      <c r="G12" s="92">
        <v>1</v>
      </c>
      <c r="H12" s="93">
        <f t="shared" si="0"/>
        <v>0.47</v>
      </c>
      <c r="I12" s="69"/>
    </row>
    <row r="13" spans="1:9" ht="12.75" customHeight="1" x14ac:dyDescent="0.2">
      <c r="A13" s="67">
        <v>12</v>
      </c>
      <c r="B13" s="87" t="s">
        <v>14</v>
      </c>
      <c r="C13" s="88" t="s">
        <v>7</v>
      </c>
      <c r="D13" s="89">
        <v>0.48</v>
      </c>
      <c r="E13" s="90" t="s">
        <v>67</v>
      </c>
      <c r="F13" s="91" t="s">
        <v>396</v>
      </c>
      <c r="G13" s="92">
        <v>1</v>
      </c>
      <c r="H13" s="94">
        <f t="shared" si="0"/>
        <v>0.48</v>
      </c>
      <c r="I13" s="69"/>
    </row>
    <row r="14" spans="1:9" ht="12.75" customHeight="1" x14ac:dyDescent="0.2">
      <c r="A14" s="67">
        <v>13</v>
      </c>
      <c r="B14" s="87" t="s">
        <v>15</v>
      </c>
      <c r="C14" s="88" t="s">
        <v>7</v>
      </c>
      <c r="D14" s="89">
        <v>0.43</v>
      </c>
      <c r="E14" s="88" t="s">
        <v>67</v>
      </c>
      <c r="F14" s="91" t="s">
        <v>396</v>
      </c>
      <c r="G14" s="92">
        <v>1</v>
      </c>
      <c r="H14" s="93">
        <f t="shared" si="0"/>
        <v>0.43</v>
      </c>
    </row>
    <row r="15" spans="1:9" ht="12.75" customHeight="1" x14ac:dyDescent="0.2">
      <c r="A15" s="67">
        <v>14</v>
      </c>
      <c r="B15" s="87" t="s">
        <v>16</v>
      </c>
      <c r="C15" s="88" t="s">
        <v>11</v>
      </c>
      <c r="D15" s="95">
        <v>21</v>
      </c>
      <c r="E15" s="96" t="s">
        <v>389</v>
      </c>
      <c r="F15" s="88" t="s">
        <v>393</v>
      </c>
      <c r="G15" s="92">
        <v>4</v>
      </c>
      <c r="H15" s="93">
        <f t="shared" si="0"/>
        <v>5.25</v>
      </c>
      <c r="I15" s="69"/>
    </row>
    <row r="16" spans="1:9" ht="12.75" customHeight="1" x14ac:dyDescent="0.2">
      <c r="A16" s="67">
        <v>15</v>
      </c>
      <c r="B16" s="97" t="s">
        <v>536</v>
      </c>
      <c r="C16" s="96" t="s">
        <v>11</v>
      </c>
      <c r="D16" s="95">
        <v>65</v>
      </c>
      <c r="E16" s="96" t="s">
        <v>389</v>
      </c>
      <c r="F16" s="96" t="s">
        <v>393</v>
      </c>
      <c r="G16" s="92">
        <v>4</v>
      </c>
      <c r="H16" s="93">
        <f t="shared" si="0"/>
        <v>16.25</v>
      </c>
      <c r="I16" s="69"/>
    </row>
    <row r="17" spans="1:9" ht="12.75" customHeight="1" x14ac:dyDescent="0.2">
      <c r="A17" s="67">
        <v>16</v>
      </c>
      <c r="B17" s="87" t="s">
        <v>17</v>
      </c>
      <c r="C17" s="88" t="s">
        <v>3</v>
      </c>
      <c r="D17" s="89">
        <v>9.5</v>
      </c>
      <c r="E17" s="90" t="s">
        <v>64</v>
      </c>
      <c r="F17" s="88" t="s">
        <v>64</v>
      </c>
      <c r="G17" s="92">
        <v>1</v>
      </c>
      <c r="H17" s="93">
        <f t="shared" si="0"/>
        <v>9.5</v>
      </c>
      <c r="I17" s="69"/>
    </row>
    <row r="18" spans="1:9" ht="12.75" customHeight="1" x14ac:dyDescent="0.2">
      <c r="A18" s="67">
        <v>17</v>
      </c>
      <c r="B18" s="87" t="s">
        <v>418</v>
      </c>
      <c r="C18" s="88" t="s">
        <v>11</v>
      </c>
      <c r="D18" s="95">
        <v>200</v>
      </c>
      <c r="E18" s="96" t="s">
        <v>393</v>
      </c>
      <c r="F18" s="88" t="s">
        <v>391</v>
      </c>
      <c r="G18" s="92">
        <v>32</v>
      </c>
      <c r="H18" s="94">
        <f t="shared" si="0"/>
        <v>6.25</v>
      </c>
    </row>
    <row r="19" spans="1:9" ht="12.75" customHeight="1" x14ac:dyDescent="0.2">
      <c r="A19" s="67">
        <v>18</v>
      </c>
      <c r="B19" s="97" t="s">
        <v>582</v>
      </c>
      <c r="C19" s="96" t="s">
        <v>19</v>
      </c>
      <c r="D19" s="95">
        <v>9</v>
      </c>
      <c r="E19" s="96" t="s">
        <v>390</v>
      </c>
      <c r="F19" s="96" t="s">
        <v>390</v>
      </c>
      <c r="G19" s="92">
        <v>1</v>
      </c>
      <c r="H19" s="94">
        <f t="shared" si="0"/>
        <v>9</v>
      </c>
      <c r="I19" s="69"/>
    </row>
    <row r="20" spans="1:9" ht="12.75" customHeight="1" x14ac:dyDescent="0.2">
      <c r="A20" s="67">
        <v>19</v>
      </c>
      <c r="B20" s="87" t="s">
        <v>18</v>
      </c>
      <c r="C20" s="88" t="s">
        <v>19</v>
      </c>
      <c r="D20" s="89">
        <v>6</v>
      </c>
      <c r="E20" s="90" t="s">
        <v>390</v>
      </c>
      <c r="F20" s="88" t="s">
        <v>390</v>
      </c>
      <c r="G20" s="92">
        <v>1</v>
      </c>
      <c r="H20" s="93">
        <f t="shared" si="0"/>
        <v>6</v>
      </c>
      <c r="I20" s="69"/>
    </row>
    <row r="21" spans="1:9" ht="12.75" customHeight="1" x14ac:dyDescent="0.2">
      <c r="A21" s="67">
        <v>20</v>
      </c>
      <c r="B21" s="87" t="s">
        <v>432</v>
      </c>
      <c r="C21" s="88" t="s">
        <v>11</v>
      </c>
      <c r="D21" s="95">
        <v>9</v>
      </c>
      <c r="E21" s="96" t="s">
        <v>391</v>
      </c>
      <c r="F21" s="91" t="s">
        <v>391</v>
      </c>
      <c r="G21" s="92">
        <v>1</v>
      </c>
      <c r="H21" s="93">
        <f t="shared" si="0"/>
        <v>9</v>
      </c>
      <c r="I21" s="69"/>
    </row>
    <row r="22" spans="1:9" ht="12.75" customHeight="1" x14ac:dyDescent="0.2">
      <c r="A22" s="67">
        <v>21</v>
      </c>
      <c r="B22" s="97" t="s">
        <v>400</v>
      </c>
      <c r="C22" s="96" t="s">
        <v>21</v>
      </c>
      <c r="D22" s="95">
        <v>85</v>
      </c>
      <c r="E22" s="96" t="s">
        <v>389</v>
      </c>
      <c r="F22" s="96" t="s">
        <v>391</v>
      </c>
      <c r="G22" s="92">
        <v>128</v>
      </c>
      <c r="H22" s="94">
        <f t="shared" si="0"/>
        <v>0.6640625</v>
      </c>
      <c r="I22" s="69"/>
    </row>
    <row r="23" spans="1:9" ht="12.75" customHeight="1" x14ac:dyDescent="0.2">
      <c r="A23" s="67">
        <v>22</v>
      </c>
      <c r="B23" s="87" t="s">
        <v>529</v>
      </c>
      <c r="C23" s="88" t="s">
        <v>11</v>
      </c>
      <c r="D23" s="89">
        <v>15</v>
      </c>
      <c r="E23" s="90" t="s">
        <v>389</v>
      </c>
      <c r="F23" s="88" t="s">
        <v>393</v>
      </c>
      <c r="G23" s="92">
        <v>4</v>
      </c>
      <c r="H23" s="94">
        <f t="shared" si="0"/>
        <v>3.75</v>
      </c>
    </row>
    <row r="24" spans="1:9" ht="12.75" customHeight="1" x14ac:dyDescent="0.2">
      <c r="A24" s="67">
        <v>23</v>
      </c>
      <c r="B24" s="97" t="s">
        <v>476</v>
      </c>
      <c r="C24" s="96" t="s">
        <v>11</v>
      </c>
      <c r="D24" s="95">
        <v>3.5</v>
      </c>
      <c r="E24" s="96" t="s">
        <v>390</v>
      </c>
      <c r="F24" s="96" t="s">
        <v>390</v>
      </c>
      <c r="G24" s="92">
        <v>1</v>
      </c>
      <c r="H24" s="93">
        <f t="shared" si="0"/>
        <v>3.5</v>
      </c>
      <c r="I24" s="69"/>
    </row>
    <row r="25" spans="1:9" ht="12.75" customHeight="1" x14ac:dyDescent="0.2">
      <c r="A25" s="67">
        <v>24</v>
      </c>
      <c r="B25" s="98" t="s">
        <v>433</v>
      </c>
      <c r="C25" s="88" t="s">
        <v>11</v>
      </c>
      <c r="D25" s="95">
        <v>95</v>
      </c>
      <c r="E25" s="96" t="s">
        <v>390</v>
      </c>
      <c r="F25" s="88" t="s">
        <v>391</v>
      </c>
      <c r="G25" s="92">
        <v>16</v>
      </c>
      <c r="H25" s="94">
        <f t="shared" si="0"/>
        <v>5.9375</v>
      </c>
      <c r="I25" s="69"/>
    </row>
    <row r="26" spans="1:9" ht="12.75" customHeight="1" x14ac:dyDescent="0.2">
      <c r="A26" s="67">
        <v>25</v>
      </c>
      <c r="B26" s="97" t="s">
        <v>358</v>
      </c>
      <c r="C26" s="96" t="s">
        <v>11</v>
      </c>
      <c r="D26" s="95">
        <v>6</v>
      </c>
      <c r="E26" s="96" t="s">
        <v>391</v>
      </c>
      <c r="F26" s="96" t="s">
        <v>391</v>
      </c>
      <c r="G26" s="92">
        <v>1</v>
      </c>
      <c r="H26" s="93">
        <f t="shared" si="0"/>
        <v>6</v>
      </c>
      <c r="I26" s="69"/>
    </row>
    <row r="27" spans="1:9" ht="12.75" customHeight="1" x14ac:dyDescent="0.2">
      <c r="A27" s="67">
        <v>26</v>
      </c>
      <c r="B27" s="87" t="s">
        <v>511</v>
      </c>
      <c r="C27" s="88" t="s">
        <v>3</v>
      </c>
      <c r="D27" s="89">
        <v>13</v>
      </c>
      <c r="E27" s="90" t="s">
        <v>65</v>
      </c>
      <c r="F27" s="88" t="s">
        <v>57</v>
      </c>
      <c r="G27" s="92">
        <f>1360/2000</f>
        <v>0.68</v>
      </c>
      <c r="H27" s="94">
        <f t="shared" si="0"/>
        <v>19.117647058823529</v>
      </c>
      <c r="I27" s="69"/>
    </row>
    <row r="28" spans="1:9" ht="12.75" customHeight="1" x14ac:dyDescent="0.2">
      <c r="A28" s="67">
        <v>27</v>
      </c>
      <c r="B28" s="97" t="s">
        <v>399</v>
      </c>
      <c r="C28" s="96" t="s">
        <v>11</v>
      </c>
      <c r="D28" s="95">
        <v>80</v>
      </c>
      <c r="E28" s="96" t="s">
        <v>389</v>
      </c>
      <c r="F28" s="96" t="s">
        <v>392</v>
      </c>
      <c r="G28" s="92">
        <v>8</v>
      </c>
      <c r="H28" s="94">
        <f t="shared" si="0"/>
        <v>10</v>
      </c>
      <c r="I28" s="69"/>
    </row>
    <row r="29" spans="1:9" ht="12.75" customHeight="1" x14ac:dyDescent="0.2">
      <c r="A29" s="67">
        <v>28</v>
      </c>
      <c r="B29" s="87" t="s">
        <v>20</v>
      </c>
      <c r="C29" s="88" t="s">
        <v>11</v>
      </c>
      <c r="D29" s="95">
        <v>50</v>
      </c>
      <c r="E29" s="96" t="s">
        <v>389</v>
      </c>
      <c r="F29" s="88" t="s">
        <v>393</v>
      </c>
      <c r="G29" s="92">
        <v>4</v>
      </c>
      <c r="H29" s="93">
        <f t="shared" si="0"/>
        <v>12.5</v>
      </c>
      <c r="I29" s="69"/>
    </row>
    <row r="30" spans="1:9" ht="12.75" customHeight="1" x14ac:dyDescent="0.2">
      <c r="A30" s="67">
        <v>29</v>
      </c>
      <c r="B30" s="97" t="s">
        <v>413</v>
      </c>
      <c r="C30" s="96" t="s">
        <v>21</v>
      </c>
      <c r="D30" s="95">
        <v>145</v>
      </c>
      <c r="E30" s="96" t="s">
        <v>389</v>
      </c>
      <c r="F30" s="96" t="s">
        <v>391</v>
      </c>
      <c r="G30" s="92">
        <v>128</v>
      </c>
      <c r="H30" s="93">
        <f t="shared" si="0"/>
        <v>1.1328125</v>
      </c>
      <c r="I30" s="69"/>
    </row>
    <row r="31" spans="1:9" ht="12.75" customHeight="1" x14ac:dyDescent="0.2">
      <c r="A31" s="67">
        <v>30</v>
      </c>
      <c r="B31" s="97" t="s">
        <v>508</v>
      </c>
      <c r="C31" s="96" t="s">
        <v>11</v>
      </c>
      <c r="D31" s="95">
        <v>135</v>
      </c>
      <c r="E31" s="96" t="s">
        <v>389</v>
      </c>
      <c r="F31" s="88" t="s">
        <v>392</v>
      </c>
      <c r="G31" s="92">
        <v>8</v>
      </c>
      <c r="H31" s="94">
        <f t="shared" si="0"/>
        <v>16.875</v>
      </c>
      <c r="I31" s="69"/>
    </row>
    <row r="32" spans="1:9" ht="12.75" customHeight="1" x14ac:dyDescent="0.2">
      <c r="A32" s="67">
        <v>31</v>
      </c>
      <c r="B32" s="97" t="s">
        <v>475</v>
      </c>
      <c r="C32" s="96" t="s">
        <v>21</v>
      </c>
      <c r="D32" s="95">
        <v>360</v>
      </c>
      <c r="E32" s="96" t="s">
        <v>389</v>
      </c>
      <c r="F32" s="96" t="s">
        <v>391</v>
      </c>
      <c r="G32" s="92">
        <v>128</v>
      </c>
      <c r="H32" s="94">
        <f t="shared" si="0"/>
        <v>2.8125</v>
      </c>
      <c r="I32" s="69"/>
    </row>
    <row r="33" spans="1:9" ht="12.75" customHeight="1" x14ac:dyDescent="0.2">
      <c r="A33" s="67">
        <v>32</v>
      </c>
      <c r="B33" s="87" t="s">
        <v>22</v>
      </c>
      <c r="C33" s="88" t="s">
        <v>3</v>
      </c>
      <c r="D33" s="89">
        <v>11</v>
      </c>
      <c r="E33" s="90" t="s">
        <v>57</v>
      </c>
      <c r="F33" s="88" t="s">
        <v>57</v>
      </c>
      <c r="G33" s="92">
        <v>1</v>
      </c>
      <c r="H33" s="93">
        <f t="shared" si="0"/>
        <v>11</v>
      </c>
      <c r="I33" s="69"/>
    </row>
    <row r="34" spans="1:9" ht="12.75" customHeight="1" x14ac:dyDescent="0.2">
      <c r="A34" s="67">
        <v>33</v>
      </c>
      <c r="B34" s="97" t="s">
        <v>411</v>
      </c>
      <c r="C34" s="96" t="s">
        <v>35</v>
      </c>
      <c r="D34" s="95">
        <v>3.5</v>
      </c>
      <c r="E34" s="96" t="s">
        <v>392</v>
      </c>
      <c r="F34" s="96" t="s">
        <v>392</v>
      </c>
      <c r="G34" s="92">
        <v>1</v>
      </c>
      <c r="H34" s="93">
        <f t="shared" ref="H34:H65" si="1">IF(G34=0,0,D34/G34)</f>
        <v>3.5</v>
      </c>
      <c r="I34" s="69"/>
    </row>
    <row r="35" spans="1:9" ht="12.75" customHeight="1" x14ac:dyDescent="0.2">
      <c r="A35" s="67">
        <v>34</v>
      </c>
      <c r="B35" s="87" t="s">
        <v>23</v>
      </c>
      <c r="C35" s="88" t="s">
        <v>19</v>
      </c>
      <c r="D35" s="89">
        <v>200</v>
      </c>
      <c r="E35" s="90" t="s">
        <v>69</v>
      </c>
      <c r="F35" s="88" t="s">
        <v>585</v>
      </c>
      <c r="G35" s="92">
        <v>80</v>
      </c>
      <c r="H35" s="94">
        <f t="shared" si="1"/>
        <v>2.5</v>
      </c>
    </row>
    <row r="36" spans="1:9" ht="12.75" customHeight="1" x14ac:dyDescent="0.2">
      <c r="A36" s="67">
        <v>35</v>
      </c>
      <c r="B36" s="87" t="s">
        <v>583</v>
      </c>
      <c r="C36" s="88" t="s">
        <v>19</v>
      </c>
      <c r="D36" s="89">
        <v>225</v>
      </c>
      <c r="E36" s="90" t="s">
        <v>69</v>
      </c>
      <c r="F36" s="88" t="s">
        <v>585</v>
      </c>
      <c r="G36" s="92">
        <v>80</v>
      </c>
      <c r="H36" s="93">
        <f t="shared" si="1"/>
        <v>2.8125</v>
      </c>
      <c r="I36" s="69"/>
    </row>
    <row r="37" spans="1:9" ht="12.75" customHeight="1" x14ac:dyDescent="0.2">
      <c r="A37" s="67">
        <v>36</v>
      </c>
      <c r="B37" s="87" t="s">
        <v>584</v>
      </c>
      <c r="C37" s="88" t="s">
        <v>19</v>
      </c>
      <c r="D37" s="89">
        <v>240</v>
      </c>
      <c r="E37" s="90" t="s">
        <v>69</v>
      </c>
      <c r="F37" s="88" t="s">
        <v>585</v>
      </c>
      <c r="G37" s="92">
        <v>80</v>
      </c>
      <c r="H37" s="94">
        <f t="shared" si="1"/>
        <v>3</v>
      </c>
      <c r="I37" s="69"/>
    </row>
    <row r="38" spans="1:9" ht="12.75" customHeight="1" x14ac:dyDescent="0.2">
      <c r="A38" s="67">
        <v>37</v>
      </c>
      <c r="B38" s="97" t="s">
        <v>473</v>
      </c>
      <c r="C38" s="96" t="s">
        <v>19</v>
      </c>
      <c r="D38" s="95">
        <v>270</v>
      </c>
      <c r="E38" s="96" t="s">
        <v>69</v>
      </c>
      <c r="F38" s="88" t="s">
        <v>585</v>
      </c>
      <c r="G38" s="92">
        <v>80</v>
      </c>
      <c r="H38" s="93">
        <f t="shared" si="1"/>
        <v>3.375</v>
      </c>
      <c r="I38" s="69"/>
    </row>
    <row r="39" spans="1:9" ht="12.75" customHeight="1" x14ac:dyDescent="0.2">
      <c r="A39" s="67">
        <v>38</v>
      </c>
      <c r="B39" s="97" t="s">
        <v>504</v>
      </c>
      <c r="C39" s="96" t="s">
        <v>19</v>
      </c>
      <c r="D39" s="95">
        <v>255</v>
      </c>
      <c r="E39" s="96" t="s">
        <v>69</v>
      </c>
      <c r="F39" s="88" t="s">
        <v>585</v>
      </c>
      <c r="G39" s="92">
        <v>80</v>
      </c>
      <c r="H39" s="94">
        <f t="shared" si="1"/>
        <v>3.1875</v>
      </c>
      <c r="I39" s="69"/>
    </row>
    <row r="40" spans="1:9" ht="12.75" customHeight="1" x14ac:dyDescent="0.2">
      <c r="A40" s="67">
        <v>39</v>
      </c>
      <c r="B40" s="97" t="s">
        <v>474</v>
      </c>
      <c r="C40" s="96" t="s">
        <v>19</v>
      </c>
      <c r="D40" s="95">
        <v>240</v>
      </c>
      <c r="E40" s="96" t="s">
        <v>69</v>
      </c>
      <c r="F40" s="88" t="s">
        <v>585</v>
      </c>
      <c r="G40" s="92">
        <v>80</v>
      </c>
      <c r="H40" s="93">
        <f t="shared" si="1"/>
        <v>3</v>
      </c>
      <c r="I40" s="69"/>
    </row>
    <row r="41" spans="1:9" ht="12.75" customHeight="1" x14ac:dyDescent="0.2">
      <c r="A41" s="67">
        <v>40</v>
      </c>
      <c r="B41" s="87" t="s">
        <v>481</v>
      </c>
      <c r="C41" s="88" t="s">
        <v>19</v>
      </c>
      <c r="D41" s="89">
        <v>305</v>
      </c>
      <c r="E41" s="90" t="s">
        <v>69</v>
      </c>
      <c r="F41" s="88" t="s">
        <v>585</v>
      </c>
      <c r="G41" s="92">
        <v>80</v>
      </c>
      <c r="H41" s="94">
        <f t="shared" si="1"/>
        <v>3.8125</v>
      </c>
      <c r="I41" s="69"/>
    </row>
    <row r="42" spans="1:9" ht="12.75" customHeight="1" x14ac:dyDescent="0.2">
      <c r="A42" s="67">
        <v>41</v>
      </c>
      <c r="B42" s="97" t="s">
        <v>531</v>
      </c>
      <c r="C42" s="96" t="s">
        <v>19</v>
      </c>
      <c r="D42" s="95">
        <v>20</v>
      </c>
      <c r="E42" s="96" t="s">
        <v>64</v>
      </c>
      <c r="F42" s="96" t="s">
        <v>64</v>
      </c>
      <c r="G42" s="92">
        <v>1</v>
      </c>
      <c r="H42" s="93">
        <f t="shared" si="1"/>
        <v>20</v>
      </c>
      <c r="I42" s="69"/>
    </row>
    <row r="43" spans="1:9" ht="12.75" customHeight="1" x14ac:dyDescent="0.2">
      <c r="A43" s="67">
        <v>42</v>
      </c>
      <c r="B43" s="97" t="s">
        <v>532</v>
      </c>
      <c r="C43" s="96" t="s">
        <v>19</v>
      </c>
      <c r="D43" s="95">
        <v>30</v>
      </c>
      <c r="E43" s="96" t="s">
        <v>64</v>
      </c>
      <c r="F43" s="96" t="s">
        <v>64</v>
      </c>
      <c r="G43" s="92">
        <v>1</v>
      </c>
      <c r="H43" s="94">
        <f t="shared" si="1"/>
        <v>30</v>
      </c>
      <c r="I43" s="69"/>
    </row>
    <row r="44" spans="1:9" ht="12.75" customHeight="1" x14ac:dyDescent="0.2">
      <c r="A44" s="67">
        <v>43</v>
      </c>
      <c r="B44" s="87" t="s">
        <v>24</v>
      </c>
      <c r="C44" s="88" t="s">
        <v>470</v>
      </c>
      <c r="D44" s="95">
        <v>12</v>
      </c>
      <c r="E44" s="96" t="s">
        <v>389</v>
      </c>
      <c r="F44" s="88" t="s">
        <v>392</v>
      </c>
      <c r="G44" s="92">
        <v>8</v>
      </c>
      <c r="H44" s="93">
        <f t="shared" si="1"/>
        <v>1.5</v>
      </c>
    </row>
    <row r="45" spans="1:9" ht="12.75" customHeight="1" x14ac:dyDescent="0.2">
      <c r="A45" s="67">
        <v>44</v>
      </c>
      <c r="B45" s="87" t="s">
        <v>25</v>
      </c>
      <c r="C45" s="88" t="s">
        <v>11</v>
      </c>
      <c r="D45" s="95">
        <v>75</v>
      </c>
      <c r="E45" s="96" t="s">
        <v>389</v>
      </c>
      <c r="F45" s="88" t="s">
        <v>391</v>
      </c>
      <c r="G45" s="92">
        <v>128</v>
      </c>
      <c r="H45" s="93">
        <f t="shared" si="1"/>
        <v>0.5859375</v>
      </c>
      <c r="I45" s="69"/>
    </row>
    <row r="46" spans="1:9" ht="12.75" customHeight="1" x14ac:dyDescent="0.2">
      <c r="A46" s="67">
        <v>45</v>
      </c>
      <c r="B46" s="87" t="s">
        <v>438</v>
      </c>
      <c r="C46" s="88" t="s">
        <v>11</v>
      </c>
      <c r="D46" s="89">
        <v>40</v>
      </c>
      <c r="E46" s="90" t="s">
        <v>389</v>
      </c>
      <c r="F46" s="88" t="s">
        <v>391</v>
      </c>
      <c r="G46" s="92">
        <v>128</v>
      </c>
      <c r="H46" s="94">
        <f t="shared" si="1"/>
        <v>0.3125</v>
      </c>
      <c r="I46" s="69"/>
    </row>
    <row r="47" spans="1:9" ht="12.75" customHeight="1" x14ac:dyDescent="0.2">
      <c r="A47" s="67">
        <v>46</v>
      </c>
      <c r="B47" s="87" t="s">
        <v>501</v>
      </c>
      <c r="C47" s="88" t="s">
        <v>3</v>
      </c>
      <c r="D47" s="89">
        <v>0.09</v>
      </c>
      <c r="E47" s="90" t="s">
        <v>388</v>
      </c>
      <c r="F47" s="88" t="s">
        <v>388</v>
      </c>
      <c r="G47" s="92">
        <v>1</v>
      </c>
      <c r="H47" s="94">
        <f t="shared" si="1"/>
        <v>0.09</v>
      </c>
      <c r="I47" s="69"/>
    </row>
    <row r="48" spans="1:9" ht="12.75" customHeight="1" x14ac:dyDescent="0.2">
      <c r="A48" s="67">
        <v>47</v>
      </c>
      <c r="B48" s="87" t="s">
        <v>26</v>
      </c>
      <c r="C48" s="88" t="s">
        <v>19</v>
      </c>
      <c r="D48" s="89">
        <v>92</v>
      </c>
      <c r="E48" s="90" t="s">
        <v>66</v>
      </c>
      <c r="F48" s="88" t="s">
        <v>66</v>
      </c>
      <c r="G48" s="92">
        <v>1</v>
      </c>
      <c r="H48" s="93">
        <f t="shared" si="1"/>
        <v>92</v>
      </c>
      <c r="I48" s="69"/>
    </row>
    <row r="49" spans="1:9" ht="12.75" customHeight="1" x14ac:dyDescent="0.2">
      <c r="A49" s="67">
        <v>48</v>
      </c>
      <c r="B49" s="87" t="s">
        <v>468</v>
      </c>
      <c r="C49" s="88" t="s">
        <v>27</v>
      </c>
      <c r="D49" s="89">
        <v>30</v>
      </c>
      <c r="E49" s="90" t="s">
        <v>64</v>
      </c>
      <c r="F49" s="88" t="s">
        <v>64</v>
      </c>
      <c r="G49" s="92">
        <v>1</v>
      </c>
      <c r="H49" s="93">
        <f t="shared" si="1"/>
        <v>30</v>
      </c>
      <c r="I49" s="69"/>
    </row>
    <row r="50" spans="1:9" ht="12.75" customHeight="1" x14ac:dyDescent="0.2">
      <c r="A50" s="67">
        <v>49</v>
      </c>
      <c r="B50" s="87" t="s">
        <v>436</v>
      </c>
      <c r="C50" s="88" t="s">
        <v>27</v>
      </c>
      <c r="D50" s="99">
        <v>0.105</v>
      </c>
      <c r="E50" s="90" t="s">
        <v>435</v>
      </c>
      <c r="F50" s="88" t="s">
        <v>435</v>
      </c>
      <c r="G50" s="92">
        <v>1</v>
      </c>
      <c r="H50" s="94">
        <f t="shared" si="1"/>
        <v>0.105</v>
      </c>
      <c r="I50" s="69"/>
    </row>
    <row r="51" spans="1:9" ht="12.75" customHeight="1" x14ac:dyDescent="0.2">
      <c r="A51" s="67">
        <v>50</v>
      </c>
      <c r="B51" s="87" t="s">
        <v>28</v>
      </c>
      <c r="C51" s="88" t="s">
        <v>11</v>
      </c>
      <c r="D51" s="95">
        <v>37</v>
      </c>
      <c r="E51" s="96" t="s">
        <v>389</v>
      </c>
      <c r="F51" s="88" t="s">
        <v>393</v>
      </c>
      <c r="G51" s="92">
        <v>4</v>
      </c>
      <c r="H51" s="93">
        <f t="shared" si="1"/>
        <v>9.25</v>
      </c>
      <c r="I51" s="69"/>
    </row>
    <row r="52" spans="1:9" ht="12.75" customHeight="1" x14ac:dyDescent="0.2">
      <c r="A52" s="67">
        <v>51</v>
      </c>
      <c r="B52" s="87" t="s">
        <v>578</v>
      </c>
      <c r="C52" s="88" t="s">
        <v>27</v>
      </c>
      <c r="D52" s="89">
        <v>260</v>
      </c>
      <c r="E52" s="90" t="s">
        <v>68</v>
      </c>
      <c r="F52" s="88" t="s">
        <v>64</v>
      </c>
      <c r="G52" s="92">
        <v>130</v>
      </c>
      <c r="H52" s="93">
        <f t="shared" si="1"/>
        <v>2</v>
      </c>
      <c r="I52" s="69"/>
    </row>
    <row r="53" spans="1:9" ht="12.75" customHeight="1" x14ac:dyDescent="0.2">
      <c r="A53" s="67">
        <v>52</v>
      </c>
      <c r="B53" s="87" t="s">
        <v>29</v>
      </c>
      <c r="C53" s="88" t="s">
        <v>11</v>
      </c>
      <c r="D53" s="95">
        <v>16</v>
      </c>
      <c r="E53" s="96" t="s">
        <v>389</v>
      </c>
      <c r="F53" s="88" t="s">
        <v>391</v>
      </c>
      <c r="G53" s="92">
        <v>128</v>
      </c>
      <c r="H53" s="94">
        <f t="shared" si="1"/>
        <v>0.125</v>
      </c>
      <c r="I53" s="69"/>
    </row>
    <row r="54" spans="1:9" ht="12.75" customHeight="1" x14ac:dyDescent="0.2">
      <c r="A54" s="67">
        <v>53</v>
      </c>
      <c r="B54" s="97" t="s">
        <v>513</v>
      </c>
      <c r="C54" s="96" t="s">
        <v>11</v>
      </c>
      <c r="D54" s="95">
        <v>43</v>
      </c>
      <c r="E54" s="96" t="s">
        <v>389</v>
      </c>
      <c r="F54" s="96" t="s">
        <v>392</v>
      </c>
      <c r="G54" s="92">
        <v>8</v>
      </c>
      <c r="H54" s="93">
        <f t="shared" si="1"/>
        <v>5.375</v>
      </c>
      <c r="I54" s="69"/>
    </row>
    <row r="55" spans="1:9" ht="12.75" customHeight="1" x14ac:dyDescent="0.2">
      <c r="A55" s="67">
        <v>54</v>
      </c>
      <c r="B55" s="87" t="s">
        <v>30</v>
      </c>
      <c r="C55" s="88" t="s">
        <v>31</v>
      </c>
      <c r="D55" s="89">
        <v>15</v>
      </c>
      <c r="E55" s="90" t="s">
        <v>64</v>
      </c>
      <c r="F55" s="88" t="s">
        <v>64</v>
      </c>
      <c r="G55" s="92">
        <v>1</v>
      </c>
      <c r="H55" s="93">
        <f t="shared" si="1"/>
        <v>15</v>
      </c>
    </row>
    <row r="56" spans="1:9" ht="12.75" customHeight="1" x14ac:dyDescent="0.2">
      <c r="A56" s="67">
        <v>55</v>
      </c>
      <c r="B56" s="87" t="s">
        <v>32</v>
      </c>
      <c r="C56" s="88" t="s">
        <v>19</v>
      </c>
      <c r="D56" s="89">
        <v>60</v>
      </c>
      <c r="E56" s="90" t="s">
        <v>64</v>
      </c>
      <c r="F56" s="88" t="s">
        <v>64</v>
      </c>
      <c r="G56" s="92">
        <v>1</v>
      </c>
      <c r="H56" s="94">
        <f t="shared" si="1"/>
        <v>60</v>
      </c>
      <c r="I56" s="69"/>
    </row>
    <row r="57" spans="1:9" ht="12.75" customHeight="1" x14ac:dyDescent="0.2">
      <c r="A57" s="67">
        <v>56</v>
      </c>
      <c r="B57" s="87" t="s">
        <v>33</v>
      </c>
      <c r="C57" s="88" t="s">
        <v>3</v>
      </c>
      <c r="D57" s="89">
        <v>6</v>
      </c>
      <c r="E57" s="90" t="s">
        <v>57</v>
      </c>
      <c r="F57" s="88" t="s">
        <v>57</v>
      </c>
      <c r="G57" s="92">
        <v>1</v>
      </c>
      <c r="H57" s="93">
        <f t="shared" si="1"/>
        <v>6</v>
      </c>
      <c r="I57" s="69"/>
    </row>
    <row r="58" spans="1:9" ht="12.75" customHeight="1" x14ac:dyDescent="0.2">
      <c r="A58" s="67">
        <v>57</v>
      </c>
      <c r="B58" s="87" t="s">
        <v>34</v>
      </c>
      <c r="C58" s="88" t="s">
        <v>3</v>
      </c>
      <c r="D58" s="89">
        <v>5</v>
      </c>
      <c r="E58" s="90" t="s">
        <v>57</v>
      </c>
      <c r="F58" s="88" t="s">
        <v>57</v>
      </c>
      <c r="G58" s="92">
        <v>1</v>
      </c>
      <c r="H58" s="94">
        <f t="shared" si="1"/>
        <v>5</v>
      </c>
      <c r="I58" s="69"/>
    </row>
    <row r="59" spans="1:9" ht="12.75" customHeight="1" x14ac:dyDescent="0.2">
      <c r="A59" s="67">
        <v>58</v>
      </c>
      <c r="B59" s="87" t="s">
        <v>380</v>
      </c>
      <c r="C59" s="88" t="s">
        <v>3</v>
      </c>
      <c r="D59" s="89">
        <v>0.28000000000000003</v>
      </c>
      <c r="E59" s="90" t="s">
        <v>66</v>
      </c>
      <c r="F59" s="88" t="s">
        <v>66</v>
      </c>
      <c r="G59" s="92">
        <v>1</v>
      </c>
      <c r="H59" s="93">
        <f t="shared" si="1"/>
        <v>0.28000000000000003</v>
      </c>
      <c r="I59" s="69"/>
    </row>
    <row r="60" spans="1:9" ht="12.75" customHeight="1" x14ac:dyDescent="0.2">
      <c r="A60" s="67">
        <v>59</v>
      </c>
      <c r="B60" s="97" t="s">
        <v>378</v>
      </c>
      <c r="C60" s="96" t="s">
        <v>3</v>
      </c>
      <c r="D60" s="95">
        <v>0.24</v>
      </c>
      <c r="E60" s="96" t="s">
        <v>66</v>
      </c>
      <c r="F60" s="96" t="s">
        <v>66</v>
      </c>
      <c r="G60" s="92">
        <v>1</v>
      </c>
      <c r="H60" s="94">
        <f t="shared" si="1"/>
        <v>0.24</v>
      </c>
      <c r="I60" s="69"/>
    </row>
    <row r="61" spans="1:9" ht="12.75" customHeight="1" x14ac:dyDescent="0.2">
      <c r="A61" s="67">
        <v>60</v>
      </c>
      <c r="B61" s="97" t="s">
        <v>379</v>
      </c>
      <c r="C61" s="96" t="s">
        <v>3</v>
      </c>
      <c r="D61" s="95">
        <v>0.3</v>
      </c>
      <c r="E61" s="96" t="s">
        <v>66</v>
      </c>
      <c r="F61" s="96" t="s">
        <v>66</v>
      </c>
      <c r="G61" s="92">
        <v>1</v>
      </c>
      <c r="H61" s="93">
        <f t="shared" si="1"/>
        <v>0.3</v>
      </c>
      <c r="I61" s="69"/>
    </row>
    <row r="62" spans="1:9" ht="12.75" customHeight="1" x14ac:dyDescent="0.2">
      <c r="A62" s="67">
        <v>61</v>
      </c>
      <c r="B62" s="87" t="s">
        <v>586</v>
      </c>
      <c r="C62" s="88" t="s">
        <v>3</v>
      </c>
      <c r="D62" s="89">
        <v>0.11</v>
      </c>
      <c r="E62" s="90" t="s">
        <v>388</v>
      </c>
      <c r="F62" s="88" t="s">
        <v>388</v>
      </c>
      <c r="G62" s="92">
        <v>1</v>
      </c>
      <c r="H62" s="94">
        <f t="shared" si="1"/>
        <v>0.11</v>
      </c>
      <c r="I62" s="69"/>
    </row>
    <row r="63" spans="1:9" ht="12.75" customHeight="1" x14ac:dyDescent="0.2">
      <c r="A63" s="67">
        <v>62</v>
      </c>
      <c r="B63" s="97" t="s">
        <v>443</v>
      </c>
      <c r="C63" s="96" t="s">
        <v>35</v>
      </c>
      <c r="D63" s="95">
        <v>320</v>
      </c>
      <c r="E63" s="96" t="s">
        <v>389</v>
      </c>
      <c r="F63" s="88" t="s">
        <v>391</v>
      </c>
      <c r="G63" s="92">
        <v>128</v>
      </c>
      <c r="H63" s="94">
        <f t="shared" si="1"/>
        <v>2.5</v>
      </c>
    </row>
    <row r="64" spans="1:9" ht="12.75" customHeight="1" x14ac:dyDescent="0.2">
      <c r="A64" s="67">
        <v>63</v>
      </c>
      <c r="B64" s="87" t="s">
        <v>479</v>
      </c>
      <c r="C64" s="88" t="s">
        <v>11</v>
      </c>
      <c r="D64" s="89">
        <v>120</v>
      </c>
      <c r="E64" s="90" t="s">
        <v>389</v>
      </c>
      <c r="F64" s="88" t="s">
        <v>391</v>
      </c>
      <c r="G64" s="92">
        <v>128</v>
      </c>
      <c r="H64" s="94">
        <f t="shared" si="1"/>
        <v>0.9375</v>
      </c>
    </row>
    <row r="65" spans="1:9" ht="12.75" customHeight="1" x14ac:dyDescent="0.2">
      <c r="A65" s="67">
        <v>64</v>
      </c>
      <c r="B65" s="87" t="s">
        <v>483</v>
      </c>
      <c r="C65" s="88" t="s">
        <v>27</v>
      </c>
      <c r="D65" s="89">
        <v>30</v>
      </c>
      <c r="E65" s="90" t="s">
        <v>64</v>
      </c>
      <c r="F65" s="88" t="s">
        <v>64</v>
      </c>
      <c r="G65" s="92">
        <v>1</v>
      </c>
      <c r="H65" s="94">
        <f t="shared" si="1"/>
        <v>30</v>
      </c>
    </row>
    <row r="66" spans="1:9" ht="12.75" customHeight="1" x14ac:dyDescent="0.2">
      <c r="A66" s="67">
        <v>65</v>
      </c>
      <c r="B66" s="87" t="s">
        <v>36</v>
      </c>
      <c r="C66" s="88" t="s">
        <v>11</v>
      </c>
      <c r="D66" s="95">
        <v>19</v>
      </c>
      <c r="E66" s="96" t="s">
        <v>389</v>
      </c>
      <c r="F66" s="88" t="s">
        <v>391</v>
      </c>
      <c r="G66" s="92">
        <v>128</v>
      </c>
      <c r="H66" s="93">
        <f t="shared" ref="H66:H97" si="2">IF(G66=0,0,D66/G66)</f>
        <v>0.1484375</v>
      </c>
    </row>
    <row r="67" spans="1:9" ht="12.75" customHeight="1" x14ac:dyDescent="0.2">
      <c r="A67" s="67">
        <v>66</v>
      </c>
      <c r="B67" s="87" t="s">
        <v>441</v>
      </c>
      <c r="C67" s="88" t="s">
        <v>11</v>
      </c>
      <c r="D67" s="89">
        <v>810</v>
      </c>
      <c r="E67" s="90" t="s">
        <v>389</v>
      </c>
      <c r="F67" s="88" t="s">
        <v>391</v>
      </c>
      <c r="G67" s="92">
        <v>128</v>
      </c>
      <c r="H67" s="94">
        <f t="shared" si="2"/>
        <v>6.328125</v>
      </c>
      <c r="I67" s="69"/>
    </row>
    <row r="68" spans="1:9" ht="12.75" customHeight="1" x14ac:dyDescent="0.2">
      <c r="A68" s="67">
        <v>67</v>
      </c>
      <c r="B68" s="97" t="s">
        <v>471</v>
      </c>
      <c r="C68" s="96" t="s">
        <v>3</v>
      </c>
      <c r="D68" s="96">
        <v>2</v>
      </c>
      <c r="E68" s="96" t="s">
        <v>65</v>
      </c>
      <c r="F68" s="96" t="s">
        <v>57</v>
      </c>
      <c r="G68" s="92">
        <f>1362/2000</f>
        <v>0.68100000000000005</v>
      </c>
      <c r="H68" s="93">
        <f t="shared" si="2"/>
        <v>2.9368575624082229</v>
      </c>
      <c r="I68" s="69"/>
    </row>
    <row r="69" spans="1:9" ht="12.75" customHeight="1" x14ac:dyDescent="0.2">
      <c r="A69" s="67">
        <v>68</v>
      </c>
      <c r="B69" s="87" t="s">
        <v>37</v>
      </c>
      <c r="C69" s="88" t="s">
        <v>21</v>
      </c>
      <c r="D69" s="89">
        <v>2.5</v>
      </c>
      <c r="E69" s="90" t="s">
        <v>390</v>
      </c>
      <c r="F69" s="88" t="s">
        <v>390</v>
      </c>
      <c r="G69" s="92">
        <v>1</v>
      </c>
      <c r="H69" s="93">
        <f t="shared" si="2"/>
        <v>2.5</v>
      </c>
      <c r="I69" s="69"/>
    </row>
    <row r="70" spans="1:9" ht="12.75" customHeight="1" x14ac:dyDescent="0.2">
      <c r="A70" s="67">
        <v>69</v>
      </c>
      <c r="B70" s="87" t="s">
        <v>38</v>
      </c>
      <c r="C70" s="88" t="s">
        <v>21</v>
      </c>
      <c r="D70" s="89">
        <v>55</v>
      </c>
      <c r="E70" s="90" t="s">
        <v>389</v>
      </c>
      <c r="F70" s="91" t="s">
        <v>392</v>
      </c>
      <c r="G70" s="92">
        <v>8</v>
      </c>
      <c r="H70" s="94">
        <f t="shared" si="2"/>
        <v>6.875</v>
      </c>
    </row>
    <row r="71" spans="1:9" ht="12.75" customHeight="1" x14ac:dyDescent="0.2">
      <c r="A71" s="67">
        <v>70</v>
      </c>
      <c r="B71" s="97" t="s">
        <v>533</v>
      </c>
      <c r="C71" s="96" t="s">
        <v>21</v>
      </c>
      <c r="D71" s="95">
        <v>55</v>
      </c>
      <c r="E71" s="96" t="s">
        <v>389</v>
      </c>
      <c r="F71" s="96" t="s">
        <v>392</v>
      </c>
      <c r="G71" s="92">
        <v>8</v>
      </c>
      <c r="H71" s="94">
        <f t="shared" si="2"/>
        <v>6.875</v>
      </c>
    </row>
    <row r="72" spans="1:9" ht="12.75" customHeight="1" x14ac:dyDescent="0.2">
      <c r="A72" s="67">
        <v>71</v>
      </c>
      <c r="B72" s="97" t="s">
        <v>434</v>
      </c>
      <c r="C72" s="96" t="s">
        <v>11</v>
      </c>
      <c r="D72" s="95">
        <v>80</v>
      </c>
      <c r="E72" s="96" t="s">
        <v>389</v>
      </c>
      <c r="F72" s="96" t="s">
        <v>393</v>
      </c>
      <c r="G72" s="92">
        <v>4</v>
      </c>
      <c r="H72" s="93">
        <f t="shared" si="2"/>
        <v>20</v>
      </c>
    </row>
    <row r="73" spans="1:9" ht="12.75" customHeight="1" x14ac:dyDescent="0.2">
      <c r="A73" s="67">
        <v>72</v>
      </c>
      <c r="B73" s="87" t="s">
        <v>39</v>
      </c>
      <c r="C73" s="88" t="s">
        <v>19</v>
      </c>
      <c r="D73" s="89">
        <v>0.45</v>
      </c>
      <c r="E73" s="90" t="s">
        <v>390</v>
      </c>
      <c r="F73" s="88" t="s">
        <v>390</v>
      </c>
      <c r="G73" s="92">
        <v>1</v>
      </c>
      <c r="H73" s="93">
        <f t="shared" si="2"/>
        <v>0.45</v>
      </c>
    </row>
    <row r="74" spans="1:9" ht="12.75" customHeight="1" x14ac:dyDescent="0.2">
      <c r="A74" s="67">
        <v>73</v>
      </c>
      <c r="B74" s="87" t="s">
        <v>40</v>
      </c>
      <c r="C74" s="88" t="s">
        <v>27</v>
      </c>
      <c r="D74" s="89">
        <v>20</v>
      </c>
      <c r="E74" s="90" t="s">
        <v>394</v>
      </c>
      <c r="F74" s="88" t="s">
        <v>394</v>
      </c>
      <c r="G74" s="92">
        <v>1</v>
      </c>
      <c r="H74" s="93">
        <f t="shared" si="2"/>
        <v>20</v>
      </c>
      <c r="I74" s="69"/>
    </row>
    <row r="75" spans="1:9" ht="12.75" customHeight="1" x14ac:dyDescent="0.2">
      <c r="A75" s="67">
        <v>74</v>
      </c>
      <c r="B75" s="87" t="s">
        <v>412</v>
      </c>
      <c r="C75" s="88" t="s">
        <v>21</v>
      </c>
      <c r="D75" s="89">
        <v>190</v>
      </c>
      <c r="E75" s="90" t="s">
        <v>389</v>
      </c>
      <c r="F75" s="88" t="s">
        <v>391</v>
      </c>
      <c r="G75" s="92">
        <v>128</v>
      </c>
      <c r="H75" s="93">
        <f t="shared" si="2"/>
        <v>1.484375</v>
      </c>
      <c r="I75" s="69"/>
    </row>
    <row r="76" spans="1:9" ht="12.75" customHeight="1" x14ac:dyDescent="0.2">
      <c r="A76" s="67">
        <v>75</v>
      </c>
      <c r="B76" s="87" t="s">
        <v>41</v>
      </c>
      <c r="C76" s="88" t="s">
        <v>470</v>
      </c>
      <c r="D76" s="95">
        <v>22</v>
      </c>
      <c r="E76" s="96" t="s">
        <v>389</v>
      </c>
      <c r="F76" s="91" t="s">
        <v>391</v>
      </c>
      <c r="G76" s="92">
        <v>128</v>
      </c>
      <c r="H76" s="94">
        <f t="shared" si="2"/>
        <v>0.171875</v>
      </c>
      <c r="I76" s="69"/>
    </row>
    <row r="77" spans="1:9" x14ac:dyDescent="0.2">
      <c r="A77" s="67">
        <v>76</v>
      </c>
      <c r="B77" s="87" t="s">
        <v>42</v>
      </c>
      <c r="C77" s="88" t="s">
        <v>19</v>
      </c>
      <c r="D77" s="89">
        <v>9</v>
      </c>
      <c r="E77" s="90" t="s">
        <v>388</v>
      </c>
      <c r="F77" s="88" t="s">
        <v>388</v>
      </c>
      <c r="G77" s="92">
        <v>1</v>
      </c>
      <c r="H77" s="94">
        <f t="shared" si="2"/>
        <v>9</v>
      </c>
      <c r="I77" s="69"/>
    </row>
    <row r="78" spans="1:9" x14ac:dyDescent="0.2">
      <c r="A78" s="67">
        <v>77</v>
      </c>
      <c r="B78" s="97" t="s">
        <v>409</v>
      </c>
      <c r="C78" s="96" t="s">
        <v>11</v>
      </c>
      <c r="D78" s="95">
        <v>150</v>
      </c>
      <c r="E78" s="96" t="s">
        <v>389</v>
      </c>
      <c r="F78" s="96" t="s">
        <v>391</v>
      </c>
      <c r="G78" s="92">
        <v>128</v>
      </c>
      <c r="H78" s="94">
        <f t="shared" si="2"/>
        <v>1.171875</v>
      </c>
      <c r="I78" s="69"/>
    </row>
    <row r="79" spans="1:9" x14ac:dyDescent="0.2">
      <c r="A79" s="67">
        <v>78</v>
      </c>
      <c r="B79" s="97" t="s">
        <v>496</v>
      </c>
      <c r="C79" s="96" t="s">
        <v>35</v>
      </c>
      <c r="D79" s="95">
        <v>8</v>
      </c>
      <c r="E79" s="96" t="s">
        <v>390</v>
      </c>
      <c r="F79" s="96" t="s">
        <v>390</v>
      </c>
      <c r="G79" s="92">
        <v>1</v>
      </c>
      <c r="H79" s="93">
        <f t="shared" si="2"/>
        <v>8</v>
      </c>
      <c r="I79" s="69"/>
    </row>
    <row r="80" spans="1:9" x14ac:dyDescent="0.2">
      <c r="A80" s="67">
        <v>79</v>
      </c>
      <c r="B80" s="87" t="s">
        <v>43</v>
      </c>
      <c r="C80" s="88" t="s">
        <v>11</v>
      </c>
      <c r="D80" s="95">
        <v>17</v>
      </c>
      <c r="E80" s="96" t="s">
        <v>391</v>
      </c>
      <c r="F80" s="88" t="s">
        <v>391</v>
      </c>
      <c r="G80" s="92">
        <v>1</v>
      </c>
      <c r="H80" s="93">
        <f t="shared" si="2"/>
        <v>17</v>
      </c>
    </row>
    <row r="81" spans="1:9" x14ac:dyDescent="0.2">
      <c r="A81" s="67">
        <v>80</v>
      </c>
      <c r="B81" s="97" t="s">
        <v>495</v>
      </c>
      <c r="C81" s="96" t="s">
        <v>19</v>
      </c>
      <c r="D81" s="95">
        <v>18</v>
      </c>
      <c r="E81" s="96" t="s">
        <v>388</v>
      </c>
      <c r="F81" s="96" t="s">
        <v>388</v>
      </c>
      <c r="G81" s="92">
        <v>1</v>
      </c>
      <c r="H81" s="93">
        <f t="shared" si="2"/>
        <v>18</v>
      </c>
      <c r="I81" s="69"/>
    </row>
    <row r="82" spans="1:9" x14ac:dyDescent="0.2">
      <c r="A82" s="67">
        <v>81</v>
      </c>
      <c r="B82" s="87" t="s">
        <v>480</v>
      </c>
      <c r="C82" s="88" t="s">
        <v>35</v>
      </c>
      <c r="D82" s="89">
        <v>670</v>
      </c>
      <c r="E82" s="90" t="s">
        <v>389</v>
      </c>
      <c r="F82" s="88" t="s">
        <v>391</v>
      </c>
      <c r="G82" s="92">
        <v>128</v>
      </c>
      <c r="H82" s="94">
        <f t="shared" si="2"/>
        <v>5.234375</v>
      </c>
      <c r="I82" s="69"/>
    </row>
    <row r="83" spans="1:9" x14ac:dyDescent="0.2">
      <c r="A83" s="67">
        <v>82</v>
      </c>
      <c r="B83" s="87" t="s">
        <v>410</v>
      </c>
      <c r="C83" s="88" t="s">
        <v>11</v>
      </c>
      <c r="D83" s="95">
        <v>52</v>
      </c>
      <c r="E83" s="96" t="s">
        <v>389</v>
      </c>
      <c r="F83" s="88" t="s">
        <v>392</v>
      </c>
      <c r="G83" s="92">
        <v>8</v>
      </c>
      <c r="H83" s="94">
        <f t="shared" si="2"/>
        <v>6.5</v>
      </c>
      <c r="I83" s="69"/>
    </row>
    <row r="84" spans="1:9" x14ac:dyDescent="0.2">
      <c r="A84" s="67">
        <v>83</v>
      </c>
      <c r="B84" s="87" t="s">
        <v>44</v>
      </c>
      <c r="C84" s="88" t="s">
        <v>11</v>
      </c>
      <c r="D84" s="95">
        <v>490</v>
      </c>
      <c r="E84" s="96" t="s">
        <v>389</v>
      </c>
      <c r="F84" s="88" t="s">
        <v>391</v>
      </c>
      <c r="G84" s="92">
        <v>128</v>
      </c>
      <c r="H84" s="93">
        <f t="shared" si="2"/>
        <v>3.828125</v>
      </c>
      <c r="I84" s="69"/>
    </row>
    <row r="85" spans="1:9" x14ac:dyDescent="0.2">
      <c r="A85" s="67">
        <v>84</v>
      </c>
      <c r="B85" s="97" t="s">
        <v>469</v>
      </c>
      <c r="C85" s="96" t="s">
        <v>35</v>
      </c>
      <c r="D85" s="95">
        <v>440</v>
      </c>
      <c r="E85" s="96" t="s">
        <v>389</v>
      </c>
      <c r="F85" s="96" t="s">
        <v>391</v>
      </c>
      <c r="G85" s="92">
        <v>128</v>
      </c>
      <c r="H85" s="93">
        <f t="shared" si="2"/>
        <v>3.4375</v>
      </c>
      <c r="I85" s="69"/>
    </row>
    <row r="86" spans="1:9" ht="14.25" customHeight="1" x14ac:dyDescent="0.2">
      <c r="A86" s="67">
        <v>85</v>
      </c>
      <c r="B86" s="87" t="s">
        <v>482</v>
      </c>
      <c r="C86" s="88" t="s">
        <v>35</v>
      </c>
      <c r="D86" s="89">
        <v>290</v>
      </c>
      <c r="E86" s="90" t="s">
        <v>389</v>
      </c>
      <c r="F86" s="88" t="s">
        <v>391</v>
      </c>
      <c r="G86" s="92">
        <v>128</v>
      </c>
      <c r="H86" s="94">
        <f t="shared" si="2"/>
        <v>2.265625</v>
      </c>
      <c r="I86" s="69"/>
    </row>
    <row r="87" spans="1:9" x14ac:dyDescent="0.2">
      <c r="A87" s="67">
        <v>86</v>
      </c>
      <c r="B87" s="97" t="s">
        <v>408</v>
      </c>
      <c r="C87" s="96" t="s">
        <v>11</v>
      </c>
      <c r="D87" s="95">
        <v>610</v>
      </c>
      <c r="E87" s="96" t="s">
        <v>389</v>
      </c>
      <c r="F87" s="96" t="s">
        <v>391</v>
      </c>
      <c r="G87" s="92">
        <v>128</v>
      </c>
      <c r="H87" s="94">
        <f t="shared" si="2"/>
        <v>4.765625</v>
      </c>
      <c r="I87" s="69"/>
    </row>
    <row r="88" spans="1:9" x14ac:dyDescent="0.2">
      <c r="A88" s="67">
        <v>87</v>
      </c>
      <c r="B88" s="87" t="s">
        <v>45</v>
      </c>
      <c r="C88" s="88" t="s">
        <v>21</v>
      </c>
      <c r="D88" s="89">
        <v>9.6</v>
      </c>
      <c r="E88" s="90" t="s">
        <v>391</v>
      </c>
      <c r="F88" s="88" t="s">
        <v>391</v>
      </c>
      <c r="G88" s="92">
        <v>1</v>
      </c>
      <c r="H88" s="94">
        <f t="shared" si="2"/>
        <v>9.6</v>
      </c>
      <c r="I88" s="69"/>
    </row>
    <row r="89" spans="1:9" ht="15" customHeight="1" x14ac:dyDescent="0.2">
      <c r="A89" s="67">
        <v>88</v>
      </c>
      <c r="B89" s="97" t="s">
        <v>472</v>
      </c>
      <c r="C89" s="96" t="s">
        <v>11</v>
      </c>
      <c r="D89" s="95">
        <v>38</v>
      </c>
      <c r="E89" s="96" t="s">
        <v>389</v>
      </c>
      <c r="F89" s="96" t="s">
        <v>391</v>
      </c>
      <c r="G89" s="92">
        <v>128</v>
      </c>
      <c r="H89" s="93">
        <f t="shared" si="2"/>
        <v>0.296875</v>
      </c>
    </row>
    <row r="90" spans="1:9" x14ac:dyDescent="0.2">
      <c r="A90" s="67">
        <v>89</v>
      </c>
      <c r="B90" s="87" t="s">
        <v>46</v>
      </c>
      <c r="C90" s="88" t="s">
        <v>19</v>
      </c>
      <c r="D90" s="89">
        <v>52</v>
      </c>
      <c r="E90" s="90" t="s">
        <v>69</v>
      </c>
      <c r="F90" s="88" t="s">
        <v>69</v>
      </c>
      <c r="G90" s="92">
        <v>1</v>
      </c>
      <c r="H90" s="94">
        <f t="shared" si="2"/>
        <v>52</v>
      </c>
      <c r="I90" s="69"/>
    </row>
    <row r="91" spans="1:9" x14ac:dyDescent="0.2">
      <c r="A91" s="67">
        <v>90</v>
      </c>
      <c r="B91" s="97" t="s">
        <v>509</v>
      </c>
      <c r="C91" s="96" t="s">
        <v>19</v>
      </c>
      <c r="D91" s="95">
        <v>65</v>
      </c>
      <c r="E91" s="96" t="s">
        <v>69</v>
      </c>
      <c r="F91" s="96" t="s">
        <v>69</v>
      </c>
      <c r="G91" s="92">
        <v>1</v>
      </c>
      <c r="H91" s="93">
        <f t="shared" si="2"/>
        <v>65</v>
      </c>
      <c r="I91" s="69"/>
    </row>
    <row r="92" spans="1:9" x14ac:dyDescent="0.2">
      <c r="A92" s="67">
        <v>91</v>
      </c>
      <c r="B92" s="87" t="s">
        <v>437</v>
      </c>
      <c r="C92" s="88" t="s">
        <v>19</v>
      </c>
      <c r="D92" s="89">
        <v>55</v>
      </c>
      <c r="E92" s="90" t="s">
        <v>69</v>
      </c>
      <c r="F92" s="88" t="s">
        <v>69</v>
      </c>
      <c r="G92" s="92">
        <v>1</v>
      </c>
      <c r="H92" s="94">
        <f t="shared" si="2"/>
        <v>55</v>
      </c>
      <c r="I92" s="69"/>
    </row>
    <row r="93" spans="1:9" x14ac:dyDescent="0.2">
      <c r="A93" s="67">
        <v>92</v>
      </c>
      <c r="B93" s="97" t="s">
        <v>510</v>
      </c>
      <c r="C93" s="96" t="s">
        <v>19</v>
      </c>
      <c r="D93" s="95">
        <v>68</v>
      </c>
      <c r="E93" s="96" t="s">
        <v>390</v>
      </c>
      <c r="F93" s="96" t="s">
        <v>390</v>
      </c>
      <c r="G93" s="92">
        <v>1</v>
      </c>
      <c r="H93" s="93">
        <f t="shared" si="2"/>
        <v>68</v>
      </c>
      <c r="I93" s="69"/>
    </row>
    <row r="94" spans="1:9" x14ac:dyDescent="0.2">
      <c r="A94" s="67">
        <v>93</v>
      </c>
      <c r="B94" s="87" t="s">
        <v>442</v>
      </c>
      <c r="C94" s="88" t="s">
        <v>11</v>
      </c>
      <c r="D94" s="89">
        <v>45</v>
      </c>
      <c r="E94" s="90" t="s">
        <v>389</v>
      </c>
      <c r="F94" s="88" t="s">
        <v>393</v>
      </c>
      <c r="G94" s="92">
        <v>4</v>
      </c>
      <c r="H94" s="94">
        <f t="shared" si="2"/>
        <v>11.25</v>
      </c>
      <c r="I94" s="69"/>
    </row>
    <row r="95" spans="1:9" x14ac:dyDescent="0.2">
      <c r="A95" s="67">
        <v>94</v>
      </c>
      <c r="B95" s="97" t="s">
        <v>581</v>
      </c>
      <c r="C95" s="96" t="s">
        <v>365</v>
      </c>
      <c r="D95" s="95">
        <v>10</v>
      </c>
      <c r="E95" s="96" t="s">
        <v>64</v>
      </c>
      <c r="F95" s="96" t="s">
        <v>64</v>
      </c>
      <c r="G95" s="92">
        <v>1</v>
      </c>
      <c r="H95" s="93">
        <f t="shared" si="2"/>
        <v>10</v>
      </c>
      <c r="I95" s="69"/>
    </row>
    <row r="96" spans="1:9" x14ac:dyDescent="0.2">
      <c r="A96" s="67">
        <v>95</v>
      </c>
      <c r="B96" s="97" t="s">
        <v>421</v>
      </c>
      <c r="C96" s="96" t="s">
        <v>365</v>
      </c>
      <c r="D96" s="95">
        <v>7</v>
      </c>
      <c r="E96" s="96" t="s">
        <v>64</v>
      </c>
      <c r="F96" s="96" t="s">
        <v>64</v>
      </c>
      <c r="G96" s="92">
        <v>1</v>
      </c>
      <c r="H96" s="94">
        <f t="shared" si="2"/>
        <v>7</v>
      </c>
      <c r="I96" s="69"/>
    </row>
    <row r="97" spans="1:9" x14ac:dyDescent="0.2">
      <c r="A97" s="67">
        <v>96</v>
      </c>
      <c r="B97" s="97" t="s">
        <v>425</v>
      </c>
      <c r="C97" s="96" t="s">
        <v>365</v>
      </c>
      <c r="D97" s="95">
        <v>7</v>
      </c>
      <c r="E97" s="96" t="s">
        <v>64</v>
      </c>
      <c r="F97" s="96" t="s">
        <v>64</v>
      </c>
      <c r="G97" s="92">
        <v>1</v>
      </c>
      <c r="H97" s="93">
        <f t="shared" si="2"/>
        <v>7</v>
      </c>
      <c r="I97" s="69"/>
    </row>
    <row r="98" spans="1:9" x14ac:dyDescent="0.2">
      <c r="A98" s="67">
        <v>97</v>
      </c>
      <c r="B98" s="87" t="s">
        <v>538</v>
      </c>
      <c r="C98" s="88" t="s">
        <v>365</v>
      </c>
      <c r="D98" s="89">
        <v>7</v>
      </c>
      <c r="E98" s="90" t="s">
        <v>64</v>
      </c>
      <c r="F98" s="88" t="s">
        <v>64</v>
      </c>
      <c r="G98" s="92">
        <v>1</v>
      </c>
      <c r="H98" s="94">
        <f t="shared" ref="H98:H127" si="3">IF(G98=0,0,D98/G98)</f>
        <v>7</v>
      </c>
      <c r="I98" s="69"/>
    </row>
    <row r="99" spans="1:9" x14ac:dyDescent="0.2">
      <c r="A99" s="67">
        <v>98</v>
      </c>
      <c r="B99" s="97" t="s">
        <v>403</v>
      </c>
      <c r="C99" s="96" t="s">
        <v>365</v>
      </c>
      <c r="D99" s="95">
        <v>7</v>
      </c>
      <c r="E99" s="96" t="s">
        <v>64</v>
      </c>
      <c r="F99" s="96" t="s">
        <v>64</v>
      </c>
      <c r="G99" s="92">
        <v>1</v>
      </c>
      <c r="H99" s="94">
        <f t="shared" si="3"/>
        <v>7</v>
      </c>
      <c r="I99" s="69"/>
    </row>
    <row r="100" spans="1:9" x14ac:dyDescent="0.2">
      <c r="A100" s="67">
        <v>99</v>
      </c>
      <c r="B100" s="97" t="s">
        <v>401</v>
      </c>
      <c r="C100" s="96" t="s">
        <v>365</v>
      </c>
      <c r="D100" s="95">
        <v>10</v>
      </c>
      <c r="E100" s="96" t="s">
        <v>64</v>
      </c>
      <c r="F100" s="96" t="s">
        <v>64</v>
      </c>
      <c r="G100" s="92">
        <v>1</v>
      </c>
      <c r="H100" s="93">
        <f t="shared" si="3"/>
        <v>10</v>
      </c>
      <c r="I100" s="69"/>
    </row>
    <row r="101" spans="1:9" x14ac:dyDescent="0.2">
      <c r="A101" s="67">
        <v>100</v>
      </c>
      <c r="B101" s="97" t="s">
        <v>579</v>
      </c>
      <c r="C101" s="96" t="s">
        <v>365</v>
      </c>
      <c r="D101" s="95">
        <v>10</v>
      </c>
      <c r="E101" s="96" t="s">
        <v>64</v>
      </c>
      <c r="F101" s="96" t="s">
        <v>64</v>
      </c>
      <c r="G101" s="92">
        <v>1</v>
      </c>
      <c r="H101" s="94">
        <f t="shared" si="3"/>
        <v>10</v>
      </c>
      <c r="I101" s="69"/>
    </row>
    <row r="102" spans="1:9" x14ac:dyDescent="0.2">
      <c r="A102" s="67">
        <v>101</v>
      </c>
      <c r="B102" s="87" t="s">
        <v>539</v>
      </c>
      <c r="C102" s="88" t="s">
        <v>365</v>
      </c>
      <c r="D102" s="89">
        <v>10</v>
      </c>
      <c r="E102" s="90" t="s">
        <v>64</v>
      </c>
      <c r="F102" s="88" t="s">
        <v>64</v>
      </c>
      <c r="G102" s="92">
        <v>2</v>
      </c>
      <c r="H102" s="93">
        <f t="shared" si="3"/>
        <v>5</v>
      </c>
      <c r="I102" s="69"/>
    </row>
    <row r="103" spans="1:9" x14ac:dyDescent="0.2">
      <c r="A103" s="67">
        <v>102</v>
      </c>
      <c r="B103" s="97" t="s">
        <v>402</v>
      </c>
      <c r="C103" s="96" t="s">
        <v>365</v>
      </c>
      <c r="D103" s="95">
        <v>16</v>
      </c>
      <c r="E103" s="96" t="s">
        <v>64</v>
      </c>
      <c r="F103" s="96" t="s">
        <v>64</v>
      </c>
      <c r="G103" s="92">
        <v>1</v>
      </c>
      <c r="H103" s="93">
        <f t="shared" si="3"/>
        <v>16</v>
      </c>
      <c r="I103" s="69"/>
    </row>
    <row r="104" spans="1:9" x14ac:dyDescent="0.2">
      <c r="A104" s="67">
        <v>103</v>
      </c>
      <c r="B104" s="87" t="s">
        <v>292</v>
      </c>
      <c r="C104" s="88" t="s">
        <v>31</v>
      </c>
      <c r="D104" s="89">
        <v>13</v>
      </c>
      <c r="E104" s="90" t="s">
        <v>64</v>
      </c>
      <c r="F104" s="88" t="s">
        <v>64</v>
      </c>
      <c r="G104" s="92">
        <v>1</v>
      </c>
      <c r="H104" s="94">
        <f t="shared" si="3"/>
        <v>13</v>
      </c>
      <c r="I104" s="69"/>
    </row>
    <row r="105" spans="1:9" x14ac:dyDescent="0.2">
      <c r="A105" s="67">
        <v>104</v>
      </c>
      <c r="B105" s="87" t="s">
        <v>47</v>
      </c>
      <c r="C105" s="88" t="s">
        <v>11</v>
      </c>
      <c r="D105" s="95">
        <v>110</v>
      </c>
      <c r="E105" s="96" t="s">
        <v>389</v>
      </c>
      <c r="F105" s="88" t="s">
        <v>391</v>
      </c>
      <c r="G105" s="92">
        <v>128</v>
      </c>
      <c r="H105" s="93">
        <f t="shared" si="3"/>
        <v>0.859375</v>
      </c>
      <c r="I105" s="69"/>
    </row>
    <row r="106" spans="1:9" x14ac:dyDescent="0.2">
      <c r="A106" s="67">
        <v>105</v>
      </c>
      <c r="B106" s="97" t="s">
        <v>497</v>
      </c>
      <c r="C106" s="96" t="s">
        <v>11</v>
      </c>
      <c r="D106" s="95">
        <v>870</v>
      </c>
      <c r="E106" s="96" t="s">
        <v>389</v>
      </c>
      <c r="F106" s="96" t="s">
        <v>391</v>
      </c>
      <c r="G106" s="92">
        <v>128</v>
      </c>
      <c r="H106" s="94">
        <f t="shared" si="3"/>
        <v>6.796875</v>
      </c>
      <c r="I106" s="69"/>
    </row>
    <row r="107" spans="1:9" x14ac:dyDescent="0.2">
      <c r="A107" s="67">
        <v>106</v>
      </c>
      <c r="B107" s="87" t="s">
        <v>48</v>
      </c>
      <c r="C107" s="88" t="s">
        <v>19</v>
      </c>
      <c r="D107" s="89">
        <v>3.2</v>
      </c>
      <c r="E107" s="90" t="s">
        <v>390</v>
      </c>
      <c r="F107" s="88" t="s">
        <v>390</v>
      </c>
      <c r="G107" s="92">
        <v>1</v>
      </c>
      <c r="H107" s="94">
        <f t="shared" si="3"/>
        <v>3.2</v>
      </c>
      <c r="I107" s="69"/>
    </row>
    <row r="108" spans="1:9" x14ac:dyDescent="0.2">
      <c r="A108" s="67">
        <v>107</v>
      </c>
      <c r="B108" s="87" t="s">
        <v>49</v>
      </c>
      <c r="C108" s="88" t="s">
        <v>19</v>
      </c>
      <c r="D108" s="89">
        <v>0.7</v>
      </c>
      <c r="E108" s="90" t="s">
        <v>390</v>
      </c>
      <c r="F108" s="88" t="s">
        <v>390</v>
      </c>
      <c r="G108" s="92">
        <v>1</v>
      </c>
      <c r="H108" s="93">
        <f t="shared" si="3"/>
        <v>0.7</v>
      </c>
      <c r="I108" s="69"/>
    </row>
    <row r="109" spans="1:9" x14ac:dyDescent="0.2">
      <c r="A109" s="67">
        <v>108</v>
      </c>
      <c r="B109" s="97" t="s">
        <v>537</v>
      </c>
      <c r="C109" s="96" t="s">
        <v>19</v>
      </c>
      <c r="D109" s="95">
        <v>1.2</v>
      </c>
      <c r="E109" s="96" t="s">
        <v>390</v>
      </c>
      <c r="F109" s="96" t="s">
        <v>390</v>
      </c>
      <c r="G109" s="92">
        <v>1</v>
      </c>
      <c r="H109" s="94">
        <f t="shared" si="3"/>
        <v>1.2</v>
      </c>
      <c r="I109" s="69"/>
    </row>
    <row r="110" spans="1:9" x14ac:dyDescent="0.2">
      <c r="A110" s="67">
        <v>109</v>
      </c>
      <c r="B110" s="87" t="s">
        <v>356</v>
      </c>
      <c r="C110" s="88" t="s">
        <v>11</v>
      </c>
      <c r="D110" s="95">
        <v>750</v>
      </c>
      <c r="E110" s="96" t="s">
        <v>389</v>
      </c>
      <c r="F110" s="88" t="s">
        <v>391</v>
      </c>
      <c r="G110" s="92">
        <v>128</v>
      </c>
      <c r="H110" s="93">
        <f t="shared" si="3"/>
        <v>5.859375</v>
      </c>
      <c r="I110" s="69"/>
    </row>
    <row r="111" spans="1:9" x14ac:dyDescent="0.2">
      <c r="A111" s="67">
        <v>110</v>
      </c>
      <c r="B111" s="87" t="s">
        <v>50</v>
      </c>
      <c r="C111" s="88" t="s">
        <v>11</v>
      </c>
      <c r="D111" s="95">
        <v>14</v>
      </c>
      <c r="E111" s="96" t="s">
        <v>391</v>
      </c>
      <c r="F111" s="88" t="s">
        <v>391</v>
      </c>
      <c r="G111" s="92">
        <v>1</v>
      </c>
      <c r="H111" s="94">
        <f t="shared" si="3"/>
        <v>14</v>
      </c>
      <c r="I111" s="69"/>
    </row>
    <row r="112" spans="1:9" x14ac:dyDescent="0.2">
      <c r="A112" s="67">
        <v>111</v>
      </c>
      <c r="B112" s="87" t="s">
        <v>51</v>
      </c>
      <c r="C112" s="88" t="s">
        <v>3</v>
      </c>
      <c r="D112" s="89">
        <v>7</v>
      </c>
      <c r="E112" s="90" t="s">
        <v>64</v>
      </c>
      <c r="F112" s="88" t="s">
        <v>64</v>
      </c>
      <c r="G112" s="92">
        <v>1</v>
      </c>
      <c r="H112" s="94">
        <f t="shared" si="3"/>
        <v>7</v>
      </c>
    </row>
    <row r="113" spans="1:8" x14ac:dyDescent="0.2">
      <c r="A113" s="67">
        <v>112</v>
      </c>
      <c r="B113" s="97" t="s">
        <v>440</v>
      </c>
      <c r="C113" s="96" t="s">
        <v>11</v>
      </c>
      <c r="D113" s="95">
        <v>4.3</v>
      </c>
      <c r="E113" s="96" t="s">
        <v>391</v>
      </c>
      <c r="F113" s="96" t="s">
        <v>391</v>
      </c>
      <c r="G113" s="92">
        <v>1</v>
      </c>
      <c r="H113" s="93">
        <f t="shared" si="3"/>
        <v>4.3</v>
      </c>
    </row>
    <row r="114" spans="1:8" x14ac:dyDescent="0.2">
      <c r="A114" s="67">
        <v>113</v>
      </c>
      <c r="B114" s="87" t="s">
        <v>478</v>
      </c>
      <c r="C114" s="88" t="s">
        <v>35</v>
      </c>
      <c r="D114" s="95">
        <v>720</v>
      </c>
      <c r="E114" s="90" t="s">
        <v>389</v>
      </c>
      <c r="F114" s="88" t="s">
        <v>391</v>
      </c>
      <c r="G114" s="92">
        <v>128</v>
      </c>
      <c r="H114" s="93">
        <f t="shared" si="3"/>
        <v>5.625</v>
      </c>
    </row>
    <row r="115" spans="1:8" x14ac:dyDescent="0.2">
      <c r="A115" s="67">
        <v>114</v>
      </c>
      <c r="B115" s="87" t="s">
        <v>52</v>
      </c>
      <c r="C115" s="88" t="s">
        <v>19</v>
      </c>
      <c r="D115" s="89">
        <v>180</v>
      </c>
      <c r="E115" s="90" t="s">
        <v>64</v>
      </c>
      <c r="F115" s="88" t="s">
        <v>64</v>
      </c>
      <c r="G115" s="92">
        <v>1</v>
      </c>
      <c r="H115" s="94">
        <f t="shared" si="3"/>
        <v>180</v>
      </c>
    </row>
    <row r="116" spans="1:8" x14ac:dyDescent="0.2">
      <c r="A116" s="67">
        <v>115</v>
      </c>
      <c r="B116" s="87" t="s">
        <v>53</v>
      </c>
      <c r="C116" s="88" t="s">
        <v>19</v>
      </c>
      <c r="D116" s="89">
        <v>1.05</v>
      </c>
      <c r="E116" s="90" t="s">
        <v>390</v>
      </c>
      <c r="F116" s="88" t="s">
        <v>390</v>
      </c>
      <c r="G116" s="92">
        <v>1</v>
      </c>
      <c r="H116" s="93">
        <f t="shared" si="3"/>
        <v>1.05</v>
      </c>
    </row>
    <row r="117" spans="1:8" x14ac:dyDescent="0.2">
      <c r="A117" s="67">
        <v>116</v>
      </c>
      <c r="B117" s="87" t="s">
        <v>54</v>
      </c>
      <c r="C117" s="88" t="s">
        <v>35</v>
      </c>
      <c r="D117" s="89">
        <v>105</v>
      </c>
      <c r="E117" s="90" t="s">
        <v>389</v>
      </c>
      <c r="F117" s="91" t="s">
        <v>391</v>
      </c>
      <c r="G117" s="92">
        <v>128</v>
      </c>
      <c r="H117" s="94">
        <f t="shared" si="3"/>
        <v>0.8203125</v>
      </c>
    </row>
    <row r="118" spans="1:8" x14ac:dyDescent="0.2">
      <c r="A118" s="67">
        <v>117</v>
      </c>
      <c r="B118" s="87" t="s">
        <v>575</v>
      </c>
      <c r="C118" s="88" t="s">
        <v>27</v>
      </c>
      <c r="D118" s="89">
        <v>0.7</v>
      </c>
      <c r="E118" s="90" t="s">
        <v>65</v>
      </c>
      <c r="F118" s="88" t="s">
        <v>57</v>
      </c>
      <c r="G118" s="92">
        <f>1539/2000</f>
        <v>0.76949999999999996</v>
      </c>
      <c r="H118" s="94">
        <f t="shared" si="3"/>
        <v>0.90968161143599735</v>
      </c>
    </row>
    <row r="119" spans="1:8" x14ac:dyDescent="0.2">
      <c r="A119" s="67">
        <v>118</v>
      </c>
      <c r="B119" s="87" t="s">
        <v>576</v>
      </c>
      <c r="C119" s="88" t="s">
        <v>27</v>
      </c>
      <c r="D119" s="89">
        <v>1.23</v>
      </c>
      <c r="E119" s="90" t="s">
        <v>65</v>
      </c>
      <c r="F119" s="88" t="s">
        <v>57</v>
      </c>
      <c r="G119" s="92">
        <f>1362/2000</f>
        <v>0.68100000000000005</v>
      </c>
      <c r="H119" s="93">
        <f t="shared" si="3"/>
        <v>1.8061674008810571</v>
      </c>
    </row>
    <row r="120" spans="1:8" x14ac:dyDescent="0.2">
      <c r="A120" s="67">
        <v>119</v>
      </c>
      <c r="B120" s="87" t="s">
        <v>577</v>
      </c>
      <c r="C120" s="88" t="s">
        <v>27</v>
      </c>
      <c r="D120" s="89">
        <v>7.0000000000000007E-2</v>
      </c>
      <c r="E120" s="90" t="s">
        <v>65</v>
      </c>
      <c r="F120" s="88" t="s">
        <v>57</v>
      </c>
      <c r="G120" s="92">
        <f>60/2000</f>
        <v>0.03</v>
      </c>
      <c r="H120" s="94">
        <f t="shared" si="3"/>
        <v>2.3333333333333335</v>
      </c>
    </row>
    <row r="121" spans="1:8" x14ac:dyDescent="0.2">
      <c r="A121" s="67">
        <v>120</v>
      </c>
      <c r="B121" s="87" t="s">
        <v>55</v>
      </c>
      <c r="C121" s="88" t="s">
        <v>7</v>
      </c>
      <c r="D121" s="89">
        <v>1</v>
      </c>
      <c r="E121" s="90" t="s">
        <v>57</v>
      </c>
      <c r="F121" s="88" t="s">
        <v>57</v>
      </c>
      <c r="G121" s="92">
        <v>1</v>
      </c>
      <c r="H121" s="94">
        <f t="shared" si="3"/>
        <v>1</v>
      </c>
    </row>
    <row r="122" spans="1:8" x14ac:dyDescent="0.2">
      <c r="A122" s="67">
        <v>121</v>
      </c>
      <c r="B122" s="87" t="s">
        <v>444</v>
      </c>
      <c r="C122" s="88" t="s">
        <v>11</v>
      </c>
      <c r="D122" s="89">
        <v>92</v>
      </c>
      <c r="E122" s="90" t="s">
        <v>390</v>
      </c>
      <c r="F122" s="88" t="s">
        <v>391</v>
      </c>
      <c r="G122" s="92">
        <v>16</v>
      </c>
      <c r="H122" s="94">
        <f t="shared" si="3"/>
        <v>5.75</v>
      </c>
    </row>
    <row r="123" spans="1:8" x14ac:dyDescent="0.2">
      <c r="A123" s="67">
        <v>122</v>
      </c>
      <c r="B123" s="97" t="s">
        <v>489</v>
      </c>
      <c r="C123" s="96" t="s">
        <v>11</v>
      </c>
      <c r="D123" s="95">
        <v>37</v>
      </c>
      <c r="E123" s="96" t="s">
        <v>390</v>
      </c>
      <c r="F123" s="96" t="s">
        <v>390</v>
      </c>
      <c r="G123" s="92">
        <v>1</v>
      </c>
      <c r="H123" s="93">
        <f t="shared" si="3"/>
        <v>37</v>
      </c>
    </row>
    <row r="124" spans="1:8" x14ac:dyDescent="0.2">
      <c r="A124" s="67">
        <v>123</v>
      </c>
      <c r="B124" s="97" t="s">
        <v>494</v>
      </c>
      <c r="C124" s="96" t="s">
        <v>11</v>
      </c>
      <c r="D124" s="95">
        <v>3.2</v>
      </c>
      <c r="E124" s="96" t="s">
        <v>389</v>
      </c>
      <c r="F124" s="96" t="s">
        <v>391</v>
      </c>
      <c r="G124" s="92">
        <v>128</v>
      </c>
      <c r="H124" s="94">
        <f t="shared" si="3"/>
        <v>2.5000000000000001E-2</v>
      </c>
    </row>
    <row r="125" spans="1:8" x14ac:dyDescent="0.2">
      <c r="A125" s="67">
        <v>124</v>
      </c>
      <c r="B125" s="87" t="s">
        <v>384</v>
      </c>
      <c r="C125" s="88" t="s">
        <v>21</v>
      </c>
      <c r="D125" s="89">
        <v>380</v>
      </c>
      <c r="E125" s="90" t="s">
        <v>389</v>
      </c>
      <c r="F125" s="88" t="s">
        <v>391</v>
      </c>
      <c r="G125" s="92">
        <v>128</v>
      </c>
      <c r="H125" s="93">
        <f t="shared" si="3"/>
        <v>2.96875</v>
      </c>
    </row>
    <row r="126" spans="1:8" x14ac:dyDescent="0.2">
      <c r="A126" s="67">
        <v>125</v>
      </c>
      <c r="B126" s="97" t="s">
        <v>526</v>
      </c>
      <c r="C126" s="96" t="s">
        <v>19</v>
      </c>
      <c r="D126" s="95">
        <v>0.12</v>
      </c>
      <c r="E126" s="96" t="s">
        <v>390</v>
      </c>
      <c r="F126" s="96" t="s">
        <v>390</v>
      </c>
      <c r="G126" s="92">
        <v>1</v>
      </c>
      <c r="H126" s="94">
        <f t="shared" si="3"/>
        <v>0.12</v>
      </c>
    </row>
    <row r="127" spans="1:8" x14ac:dyDescent="0.2">
      <c r="A127" s="67">
        <v>126</v>
      </c>
      <c r="B127" s="84" t="s">
        <v>574</v>
      </c>
      <c r="C127" s="85" t="s">
        <v>19</v>
      </c>
      <c r="D127" s="86">
        <v>0.31</v>
      </c>
      <c r="E127" s="85" t="s">
        <v>390</v>
      </c>
      <c r="F127" s="81" t="s">
        <v>390</v>
      </c>
      <c r="G127" s="82">
        <v>1</v>
      </c>
      <c r="H127" s="83">
        <f t="shared" si="3"/>
        <v>0.31</v>
      </c>
    </row>
    <row r="128" spans="1:8" x14ac:dyDescent="0.2">
      <c r="A128" s="67">
        <v>127</v>
      </c>
    </row>
    <row r="129" spans="1:1" x14ac:dyDescent="0.2">
      <c r="A129" s="67">
        <v>128</v>
      </c>
    </row>
    <row r="130" spans="1:1" x14ac:dyDescent="0.2">
      <c r="A130" s="67">
        <v>129</v>
      </c>
    </row>
    <row r="131" spans="1:1" x14ac:dyDescent="0.2">
      <c r="A131" s="67">
        <v>130</v>
      </c>
    </row>
    <row r="132" spans="1:1" x14ac:dyDescent="0.2">
      <c r="A132" s="67">
        <v>131</v>
      </c>
    </row>
    <row r="133" spans="1:1" x14ac:dyDescent="0.2">
      <c r="A133" s="67">
        <v>132</v>
      </c>
    </row>
    <row r="134" spans="1:1" x14ac:dyDescent="0.2">
      <c r="A134" s="67">
        <v>133</v>
      </c>
    </row>
    <row r="135" spans="1:1" x14ac:dyDescent="0.2">
      <c r="A135" s="67">
        <v>134</v>
      </c>
    </row>
    <row r="136" spans="1:1" x14ac:dyDescent="0.2">
      <c r="A136" s="67">
        <v>135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topLeftCell="A32" workbookViewId="0"/>
  </sheetViews>
  <sheetFormatPr defaultRowHeight="12.75" x14ac:dyDescent="0.2"/>
  <cols>
    <col min="1" max="1" width="44" style="53" customWidth="1"/>
    <col min="2" max="2" width="14.5703125" style="64" customWidth="1"/>
    <col min="3" max="3" width="17.85546875" style="64" customWidth="1"/>
    <col min="4" max="4" width="23.42578125" style="64" customWidth="1"/>
    <col min="5" max="5" width="11.5703125" style="53" customWidth="1"/>
    <col min="6" max="6" width="17.28515625" style="53" customWidth="1"/>
    <col min="7" max="7" width="9" style="53" customWidth="1"/>
    <col min="8" max="8" width="13.42578125" style="53" customWidth="1"/>
    <col min="9" max="9" width="16" style="53" customWidth="1"/>
    <col min="10" max="10" width="14.7109375" style="53" customWidth="1"/>
    <col min="11" max="11" width="17.85546875" style="53" customWidth="1"/>
    <col min="12" max="12" width="21" style="53" customWidth="1"/>
    <col min="13" max="13" width="18.28515625" style="53" customWidth="1"/>
    <col min="14" max="14" width="16.140625" style="53" customWidth="1"/>
    <col min="15" max="15" width="17.7109375" style="53" customWidth="1"/>
    <col min="16" max="16" width="20.140625" style="53" customWidth="1"/>
    <col min="17" max="17" width="20" style="53" customWidth="1"/>
    <col min="18" max="18" width="22.42578125" style="53" customWidth="1"/>
    <col min="19" max="19" width="13.85546875" style="63" customWidth="1"/>
    <col min="20" max="20" width="25.85546875" style="63" customWidth="1"/>
    <col min="21" max="21" width="25" style="63" customWidth="1"/>
    <col min="22" max="22" width="9.140625" style="53"/>
    <col min="23" max="23" width="32.85546875" style="53" bestFit="1" customWidth="1"/>
    <col min="24" max="24" width="20.42578125" style="53" bestFit="1" customWidth="1"/>
    <col min="25" max="26" width="6.7109375" style="53" customWidth="1"/>
    <col min="27" max="27" width="11" style="53" bestFit="1" customWidth="1"/>
    <col min="28" max="29" width="9.140625" style="53"/>
    <col min="30" max="30" width="28.140625" style="53" customWidth="1"/>
    <col min="31" max="31" width="40.5703125" style="53" bestFit="1" customWidth="1"/>
    <col min="32" max="33" width="6.7109375" style="53" customWidth="1"/>
    <col min="34" max="34" width="7.85546875" style="53" customWidth="1"/>
    <col min="35" max="36" width="9.140625" style="53"/>
    <col min="37" max="37" width="19.5703125" style="53" bestFit="1" customWidth="1"/>
    <col min="38" max="38" width="9.85546875" style="53" bestFit="1" customWidth="1"/>
    <col min="39" max="39" width="29.7109375" style="53" customWidth="1"/>
    <col min="40" max="16384" width="9.140625" style="53"/>
  </cols>
  <sheetData>
    <row r="1" spans="1:41" s="48" customFormat="1" ht="44.25" customHeight="1" x14ac:dyDescent="0.2">
      <c r="A1" s="125" t="s">
        <v>0</v>
      </c>
      <c r="B1" s="126" t="s">
        <v>70</v>
      </c>
      <c r="C1" s="126" t="s">
        <v>92</v>
      </c>
      <c r="D1" s="126" t="s">
        <v>93</v>
      </c>
      <c r="E1" s="126" t="s">
        <v>89</v>
      </c>
      <c r="F1" s="126" t="s">
        <v>345</v>
      </c>
      <c r="G1" s="126" t="s">
        <v>90</v>
      </c>
      <c r="H1" s="126" t="s">
        <v>299</v>
      </c>
      <c r="I1" s="126" t="s">
        <v>330</v>
      </c>
      <c r="J1" s="126" t="s">
        <v>95</v>
      </c>
      <c r="K1" s="126" t="s">
        <v>255</v>
      </c>
      <c r="L1" s="126" t="s">
        <v>333</v>
      </c>
      <c r="M1" s="126" t="s">
        <v>334</v>
      </c>
      <c r="N1" s="126" t="s">
        <v>332</v>
      </c>
      <c r="O1" s="127" t="s">
        <v>347</v>
      </c>
      <c r="P1" s="127" t="s">
        <v>331</v>
      </c>
      <c r="Q1" s="127" t="s">
        <v>346</v>
      </c>
      <c r="R1" s="127" t="s">
        <v>348</v>
      </c>
      <c r="S1" s="127" t="s">
        <v>349</v>
      </c>
      <c r="T1" s="127" t="s">
        <v>350</v>
      </c>
      <c r="U1" s="127" t="s">
        <v>351</v>
      </c>
      <c r="W1" s="5" t="s">
        <v>96</v>
      </c>
      <c r="X1" s="49" t="s">
        <v>97</v>
      </c>
      <c r="Y1" s="50" t="s">
        <v>98</v>
      </c>
      <c r="Z1" s="50" t="s">
        <v>99</v>
      </c>
      <c r="AA1" s="51" t="s">
        <v>100</v>
      </c>
      <c r="AD1" s="6" t="s">
        <v>251</v>
      </c>
      <c r="AE1" s="6" t="s">
        <v>96</v>
      </c>
      <c r="AF1" s="6" t="s">
        <v>252</v>
      </c>
      <c r="AG1" s="6" t="s">
        <v>253</v>
      </c>
      <c r="AH1" s="6" t="s">
        <v>254</v>
      </c>
      <c r="AK1" s="215" t="s">
        <v>246</v>
      </c>
      <c r="AL1" s="215"/>
      <c r="AM1" s="215"/>
      <c r="AO1" s="52" t="s">
        <v>265</v>
      </c>
    </row>
    <row r="2" spans="1:41" ht="12.75" customHeight="1" x14ac:dyDescent="0.25">
      <c r="A2" s="124" t="s">
        <v>17</v>
      </c>
      <c r="B2" s="103" t="s">
        <v>3</v>
      </c>
      <c r="C2" s="104"/>
      <c r="D2" s="104"/>
      <c r="E2" s="105"/>
      <c r="F2" s="106"/>
      <c r="G2" s="105"/>
      <c r="H2" s="105"/>
      <c r="I2" s="107"/>
      <c r="J2" s="108"/>
      <c r="K2" s="104"/>
      <c r="L2" s="106"/>
      <c r="M2" s="108"/>
      <c r="N2" s="109">
        <f>IF(Operations!$E2&gt;1,Operations!$E2,IF(Operations!$D2=0,0,Operations!$F2/(VLOOKUP(Operations!$D2,ImpDepLookup,2,FALSE)-VLOOKUP(Operations!$D2,ImpDepLookup,3,FALSE)*Operations!$G2^0.5-VLOOKUP(Operations!$D2,ImpDepLookup,4,FALSE)*(Operations!$G2*(Operations!$G2*Operations!$H2/Operations!$I2)^0.5))^2))</f>
        <v>0</v>
      </c>
      <c r="O2" s="110">
        <f>IF(Operations!$C2="",0,(((Operations!$G2+1)*Operations!$H2/Operations!$I2/1000)^VLOOKUP(Operations!$C2,ImpRepairFac[],4,FALSE)-(Operations!$G2*Operations!$H2/Operations!$I2/1000)^VLOOKUP(Operations!$C2,ImpRepairFac[],4,FALSE))*Operations!$N2*VLOOKUP(Operations!$C2,ImpRepairFac[],3,FALSE)/Operations!$H2)</f>
        <v>0</v>
      </c>
      <c r="P2" s="111">
        <f>IF(Operations!$N2=0,0,Operations!$N2*(VLOOKUP(Operations!$D2,ImpDepLookup,2,FALSE)-VLOOKUP(Operations!$D2,ImpDepLookup,3,FALSE)*Operations!$G2^0.5-VLOOKUP(Operations!$D2,ImpDepLookup,4,FALSE)*(Operations!$G2*Operations!$H2/Operations!$I2)^0.5)^2)</f>
        <v>0</v>
      </c>
      <c r="Q2" s="111">
        <f>IF(Operations!$N2=0,0,Operations!$N2*(VLOOKUP(Operations!$D2,ImpDepLookup,2,FALSE)-VLOOKUP(Operations!$D2,ImpDepLookup,3,FALSE)*(Operations!$G2+1)^0.5-VLOOKUP(Operations!$D2,ImpDepLookup,4,FALSE)*(Operations!$G2*Operations!$H2/Operations!$I2)^0.5)^2)</f>
        <v>0</v>
      </c>
      <c r="R2" s="110">
        <f>IF(Operations!$N2=0,0,IF(Operations!$I2*Operations!$H2=0,0,(Operations!$P2-Operations!$Q2)/(Operations!$H2)))</f>
        <v>0</v>
      </c>
      <c r="S2" s="112">
        <f>IF(Operations!$H2=0,0,Operations!$P2*'General Variables'!$B$9/Operations!$H2)</f>
        <v>0</v>
      </c>
      <c r="T2" s="112">
        <f>IF(Operations!$H2=0,0,Operations!$P2*'General Variables'!$B$10/Operations!$H2)</f>
        <v>0</v>
      </c>
      <c r="U2" s="112">
        <f>SUM(Table3[[#This Row],[Depreciation per Unit]:[Opportunity Cost per Unit]])</f>
        <v>0</v>
      </c>
      <c r="W2" s="1" t="s">
        <v>107</v>
      </c>
      <c r="X2" s="1" t="s">
        <v>108</v>
      </c>
      <c r="Y2" s="2" t="s">
        <v>109</v>
      </c>
      <c r="Z2" s="2" t="s">
        <v>110</v>
      </c>
      <c r="AA2" s="4">
        <v>3000</v>
      </c>
      <c r="AD2" s="1" t="s">
        <v>213</v>
      </c>
      <c r="AE2" s="1" t="s">
        <v>214</v>
      </c>
      <c r="AF2" s="1" t="s">
        <v>215</v>
      </c>
      <c r="AG2" s="1" t="s">
        <v>216</v>
      </c>
      <c r="AH2" s="1">
        <v>0</v>
      </c>
      <c r="AK2" s="215"/>
      <c r="AL2" s="215"/>
      <c r="AM2" s="215"/>
      <c r="AO2" s="54" t="str">
        <f>IF(PowerUnits[[#This Row],[Name]]=0,"",PowerUnits[[#This Row],[Name]])</f>
        <v>Large Tractor</v>
      </c>
    </row>
    <row r="3" spans="1:41" ht="12.75" customHeight="1" x14ac:dyDescent="0.25">
      <c r="A3" s="124" t="s">
        <v>270</v>
      </c>
      <c r="B3" s="103" t="s">
        <v>64</v>
      </c>
      <c r="C3" s="104" t="s">
        <v>305</v>
      </c>
      <c r="D3" s="104" t="s">
        <v>327</v>
      </c>
      <c r="E3" s="114"/>
      <c r="F3" s="106">
        <v>15500</v>
      </c>
      <c r="G3" s="105">
        <v>5</v>
      </c>
      <c r="H3" s="105">
        <v>500</v>
      </c>
      <c r="I3" s="113">
        <v>12</v>
      </c>
      <c r="J3" s="108">
        <v>1.1000000000000001</v>
      </c>
      <c r="K3" s="104" t="s">
        <v>416</v>
      </c>
      <c r="L3" s="106">
        <v>6.3642857142857157</v>
      </c>
      <c r="M3" s="108"/>
      <c r="N3" s="109">
        <f>IF(Operations!$E3&gt;1,Operations!$E3,IF(Operations!$D3=0,0,Operations!$F3/(VLOOKUP(Operations!$D3,ImpDepLookup,2,FALSE)-VLOOKUP(Operations!$D3,ImpDepLookup,3,FALSE)*Operations!$G3^0.5-VLOOKUP(Operations!$D3,ImpDepLookup,4,FALSE)*(Operations!$G3*(Operations!$G3*Operations!$H3/Operations!$I3)^0.5))^2))</f>
        <v>32108.240770255194</v>
      </c>
      <c r="O3" s="110">
        <f>IF(Operations!$C3="",0,(((Operations!$G3+1)*Operations!$H3/Operations!$I3/1000)^VLOOKUP(Operations!$C3,ImpRepairFac[],4,FALSE)-(Operations!$G3*Operations!$H3/Operations!$I3/1000)^VLOOKUP(Operations!$C3,ImpRepairFac[],4,FALSE))*Operations!$N3*VLOOKUP(Operations!$C3,ImpRepairFac[],3,FALSE)/Operations!$H3)</f>
        <v>0.58161831141852816</v>
      </c>
      <c r="P3" s="111">
        <f>IF(Operations!$N3=0,0,Operations!$N3*(VLOOKUP(Operations!$D3,ImpDepLookup,2,FALSE)-VLOOKUP(Operations!$D3,ImpDepLookup,3,FALSE)*Operations!$G3^0.5-VLOOKUP(Operations!$D3,ImpDepLookup,4,FALSE)*(Operations!$G3*Operations!$H3/Operations!$I3)^0.5)^2)</f>
        <v>15500</v>
      </c>
      <c r="Q3" s="111">
        <f>IF(Operations!$N3=0,0,Operations!$N3*(VLOOKUP(Operations!$D3,ImpDepLookup,2,FALSE)-VLOOKUP(Operations!$D3,ImpDepLookup,3,FALSE)*(Operations!$G3+1)^0.5-VLOOKUP(Operations!$D3,ImpDepLookup,4,FALSE)*(Operations!$G3*Operations!$H3/Operations!$I3)^0.5)^2)</f>
        <v>14461.04177392678</v>
      </c>
      <c r="R3" s="110">
        <f>IF(Operations!$N3=0,0,IF(Operations!$I3*Operations!$H3=0,0,(Operations!$P3-Operations!$Q3)/(Operations!$H3)))</f>
        <v>2.0779164521464408</v>
      </c>
      <c r="S3" s="112">
        <f>IF(Operations!$H3=0,0,Operations!$P3*'General Variables'!$B$9/Operations!$H3)</f>
        <v>0.62</v>
      </c>
      <c r="T3" s="112">
        <f>IF(Operations!$H3=0,0,Operations!$P3*'General Variables'!$B$10/Operations!$H3)</f>
        <v>1.24</v>
      </c>
      <c r="U3" s="112">
        <f>SUM(Table3[[#This Row],[Depreciation per Unit]:[Opportunity Cost per Unit]])</f>
        <v>3.9379164521464407</v>
      </c>
      <c r="W3" s="1" t="s">
        <v>111</v>
      </c>
      <c r="X3" s="1" t="s">
        <v>108</v>
      </c>
      <c r="Y3" s="2" t="s">
        <v>112</v>
      </c>
      <c r="Z3" s="2" t="s">
        <v>110</v>
      </c>
      <c r="AA3" s="4">
        <v>1500</v>
      </c>
      <c r="AD3" s="1" t="s">
        <v>213</v>
      </c>
      <c r="AE3" s="1" t="s">
        <v>218</v>
      </c>
      <c r="AF3" s="1" t="s">
        <v>219</v>
      </c>
      <c r="AG3" s="1" t="s">
        <v>220</v>
      </c>
      <c r="AH3" s="1"/>
      <c r="AK3" s="35" t="s">
        <v>247</v>
      </c>
      <c r="AL3" s="35" t="s">
        <v>248</v>
      </c>
      <c r="AM3" s="55" t="s">
        <v>249</v>
      </c>
      <c r="AO3" s="54" t="str">
        <f>IF(PowerUnits[[#This Row],[Name]]=0,"",PowerUnits[[#This Row],[Name]])</f>
        <v>Medium Tractor</v>
      </c>
    </row>
    <row r="4" spans="1:41" ht="12.75" customHeight="1" x14ac:dyDescent="0.25">
      <c r="A4" s="124" t="s">
        <v>547</v>
      </c>
      <c r="B4" s="103" t="s">
        <v>58</v>
      </c>
      <c r="C4" s="104" t="s">
        <v>322</v>
      </c>
      <c r="D4" s="104" t="s">
        <v>329</v>
      </c>
      <c r="E4" s="105">
        <v>24555</v>
      </c>
      <c r="F4" s="106"/>
      <c r="G4" s="105">
        <v>5</v>
      </c>
      <c r="H4" s="105">
        <v>1250</v>
      </c>
      <c r="I4" s="115">
        <v>4</v>
      </c>
      <c r="J4" s="108">
        <v>1.1000000000000001</v>
      </c>
      <c r="K4" s="104" t="s">
        <v>416</v>
      </c>
      <c r="L4" s="106">
        <v>3.5</v>
      </c>
      <c r="M4" s="108"/>
      <c r="N4" s="109">
        <f>IF(Operations!$E4&gt;1,Operations!$E4,IF(Operations!$D4=0,0,Operations!$F4/(VLOOKUP(Operations!$D4,ImpDepLookup,2,FALSE)-VLOOKUP(Operations!$D4,ImpDepLookup,3,FALSE)*Operations!$G4^0.5-VLOOKUP(Operations!$D4,ImpDepLookup,4,FALSE)*(Operations!$G4*(Operations!$G4*Operations!$H4/Operations!$I4)^0.5))^2))</f>
        <v>24555</v>
      </c>
      <c r="O4" s="110">
        <f>IF(Operations!$C4="",0,(((Operations!$G4+1)*Operations!$H4/Operations!$I4/1000)^VLOOKUP(Operations!$C4,ImpRepairFac[],4,FALSE)-(Operations!$G4*Operations!$H4/Operations!$I4/1000)^VLOOKUP(Operations!$C4,ImpRepairFac[],4,FALSE))*Operations!$N4*VLOOKUP(Operations!$C4,ImpRepairFac[],3,FALSE)/Operations!$H4)</f>
        <v>3.9188138082955746</v>
      </c>
      <c r="P4" s="111">
        <f>IF(Operations!$N4=0,0,Operations!$N4*(VLOOKUP(Operations!$D4,ImpDepLookup,2,FALSE)-VLOOKUP(Operations!$D4,ImpDepLookup,3,FALSE)*Operations!$G4^0.5-VLOOKUP(Operations!$D4,ImpDepLookup,4,FALSE)*(Operations!$G4*Operations!$H4/Operations!$I4)^0.5)^2)</f>
        <v>9627.3465432332359</v>
      </c>
      <c r="Q4" s="111">
        <f>IF(Operations!$N4=0,0,Operations!$N4*(VLOOKUP(Operations!$D4,ImpDepLookup,2,FALSE)-VLOOKUP(Operations!$D4,ImpDepLookup,3,FALSE)*(Operations!$G4+1)^0.5-VLOOKUP(Operations!$D4,ImpDepLookup,4,FALSE)*(Operations!$G4*Operations!$H4/Operations!$I4)^0.5)^2)</f>
        <v>8975.9087899990172</v>
      </c>
      <c r="R4" s="110">
        <f>IF(Operations!$N4=0,0,IF(Operations!$I4*Operations!$H4=0,0,(Operations!$P4-Operations!$Q4)/(Operations!$H4)))</f>
        <v>0.52115020258737499</v>
      </c>
      <c r="S4" s="112">
        <f>IF(Operations!$H4=0,0,Operations!$P4*'General Variables'!$B$9/Operations!$H4)</f>
        <v>0.15403754469173178</v>
      </c>
      <c r="T4" s="112">
        <f>IF(Operations!$H4=0,0,Operations!$P4*'General Variables'!$B$10/Operations!$H4)</f>
        <v>0.30807508938346356</v>
      </c>
      <c r="U4" s="112">
        <f>SUM(Table3[[#This Row],[Depreciation per Unit]:[Opportunity Cost per Unit]])</f>
        <v>0.98326283666257042</v>
      </c>
      <c r="W4" s="1" t="s">
        <v>113</v>
      </c>
      <c r="X4" s="1" t="s">
        <v>108</v>
      </c>
      <c r="Y4" s="2" t="s">
        <v>114</v>
      </c>
      <c r="Z4" s="2" t="s">
        <v>110</v>
      </c>
      <c r="AA4" s="4">
        <v>2000</v>
      </c>
      <c r="AD4" s="1" t="s">
        <v>213</v>
      </c>
      <c r="AE4" s="1" t="s">
        <v>221</v>
      </c>
      <c r="AF4" s="1" t="s">
        <v>222</v>
      </c>
      <c r="AG4" s="1" t="s">
        <v>223</v>
      </c>
      <c r="AH4" s="1"/>
      <c r="AK4" s="35" t="s">
        <v>183</v>
      </c>
      <c r="AL4" s="56">
        <v>15</v>
      </c>
      <c r="AM4" s="56">
        <v>2</v>
      </c>
      <c r="AO4" s="54" t="str">
        <f>IF(PowerUnits[[#This Row],[Name]]=0,"",PowerUnits[[#This Row],[Name]])</f>
        <v>Combine</v>
      </c>
    </row>
    <row r="5" spans="1:41" ht="12.75" customHeight="1" x14ac:dyDescent="0.25">
      <c r="A5" s="124" t="s">
        <v>271</v>
      </c>
      <c r="B5" s="103" t="s">
        <v>388</v>
      </c>
      <c r="C5" s="104" t="s">
        <v>355</v>
      </c>
      <c r="D5" s="104" t="s">
        <v>327</v>
      </c>
      <c r="E5" s="105">
        <v>42000</v>
      </c>
      <c r="F5" s="106"/>
      <c r="G5" s="105">
        <v>5</v>
      </c>
      <c r="H5" s="105">
        <f>2000*220</f>
        <v>440000</v>
      </c>
      <c r="I5" s="115">
        <f>7*220</f>
        <v>1540</v>
      </c>
      <c r="J5" s="108">
        <v>1.1000000000000001</v>
      </c>
      <c r="K5" s="104" t="s">
        <v>416</v>
      </c>
      <c r="L5" s="106">
        <v>3</v>
      </c>
      <c r="M5" s="108"/>
      <c r="N5" s="109">
        <f>IF(Operations!$E5&gt;1,Operations!$E5,IF(Operations!$D5=0,0,Operations!$F5/(VLOOKUP(Operations!$D5,ImpDepLookup,2,FALSE)-VLOOKUP(Operations!$D5,ImpDepLookup,3,FALSE)*Operations!$G5^0.5-VLOOKUP(Operations!$D5,ImpDepLookup,4,FALSE)*(Operations!$G5*(Operations!$G5*Operations!$H5/Operations!$I5)^0.5))^2))</f>
        <v>42000</v>
      </c>
      <c r="O5" s="110">
        <f>IF(Operations!$C5="",0,(((Operations!$G5+1)*Operations!$H5/Operations!$I5/1000)^VLOOKUP(Operations!$C5,ImpRepairFac[],4,FALSE)-(Operations!$G5*Operations!$H5/Operations!$I5/1000)^VLOOKUP(Operations!$C5,ImpRepairFac[],4,FALSE))*Operations!$N5*VLOOKUP(Operations!$C5,ImpRepairFac[],3,FALSE)/Operations!$H5)</f>
        <v>9.1538023280057779E-3</v>
      </c>
      <c r="P5" s="111">
        <f>IF(Operations!$N5=0,0,Operations!$N5*(VLOOKUP(Operations!$D5,ImpDepLookup,2,FALSE)-VLOOKUP(Operations!$D5,ImpDepLookup,3,FALSE)*Operations!$G5^0.5-VLOOKUP(Operations!$D5,ImpDepLookup,4,FALSE)*(Operations!$G5*Operations!$H5/Operations!$I5)^0.5)^2)</f>
        <v>20275.168753657814</v>
      </c>
      <c r="Q5" s="111">
        <f>IF(Operations!$N5=0,0,Operations!$N5*(VLOOKUP(Operations!$D5,ImpDepLookup,2,FALSE)-VLOOKUP(Operations!$D5,ImpDepLookup,3,FALSE)*(Operations!$G5+1)^0.5-VLOOKUP(Operations!$D5,ImpDepLookup,4,FALSE)*(Operations!$G5*Operations!$H5/Operations!$I5)^0.5)^2)</f>
        <v>18916.133052907138</v>
      </c>
      <c r="R5" s="110">
        <f>IF(Operations!$N5=0,0,IF(Operations!$I5*Operations!$H5=0,0,(Operations!$P5-Operations!$Q5)/(Operations!$H5)))</f>
        <v>3.0887175017060807E-3</v>
      </c>
      <c r="S5" s="112">
        <f>IF(Operations!$H5=0,0,Operations!$P5*'General Variables'!$B$9/Operations!$H5)</f>
        <v>9.2159857971171888E-4</v>
      </c>
      <c r="T5" s="112">
        <f>IF(Operations!$H5=0,0,Operations!$P5*'General Variables'!$B$10/Operations!$H5)</f>
        <v>1.8431971594234378E-3</v>
      </c>
      <c r="U5" s="112">
        <f>SUM(Table3[[#This Row],[Depreciation per Unit]:[Opportunity Cost per Unit]])</f>
        <v>5.853513240841237E-3</v>
      </c>
      <c r="W5" s="1" t="s">
        <v>115</v>
      </c>
      <c r="X5" s="1" t="s">
        <v>116</v>
      </c>
      <c r="Y5" s="2" t="s">
        <v>117</v>
      </c>
      <c r="Z5" s="2" t="s">
        <v>118</v>
      </c>
      <c r="AA5" s="3">
        <v>2000</v>
      </c>
      <c r="AD5" s="1" t="s">
        <v>213</v>
      </c>
      <c r="AE5" s="1" t="s">
        <v>224</v>
      </c>
      <c r="AF5" s="1" t="s">
        <v>225</v>
      </c>
      <c r="AG5" s="1" t="s">
        <v>226</v>
      </c>
      <c r="AH5" s="1"/>
      <c r="AK5" s="35" t="s">
        <v>185</v>
      </c>
      <c r="AL5" s="56">
        <v>10</v>
      </c>
      <c r="AM5" s="56">
        <v>3</v>
      </c>
      <c r="AO5" s="54" t="str">
        <f>IF(PowerUnits[[#This Row],[Name]]=0,"",PowerUnits[[#This Row],[Name]])</f>
        <v>Diesel Pump</v>
      </c>
    </row>
    <row r="6" spans="1:41" ht="12.75" customHeight="1" x14ac:dyDescent="0.25">
      <c r="A6" s="124" t="s">
        <v>272</v>
      </c>
      <c r="B6" s="103" t="s">
        <v>64</v>
      </c>
      <c r="C6" s="104" t="s">
        <v>305</v>
      </c>
      <c r="D6" s="104" t="s">
        <v>326</v>
      </c>
      <c r="E6" s="114">
        <v>57470</v>
      </c>
      <c r="F6" s="106"/>
      <c r="G6" s="105">
        <v>5</v>
      </c>
      <c r="H6" s="105">
        <v>2000</v>
      </c>
      <c r="I6" s="113">
        <v>11.092436974789917</v>
      </c>
      <c r="J6" s="108">
        <v>1.1000000000000001</v>
      </c>
      <c r="K6" s="104" t="s">
        <v>416</v>
      </c>
      <c r="L6" s="106">
        <v>8.2638655462184882</v>
      </c>
      <c r="M6" s="108"/>
      <c r="N6" s="109">
        <f>IF(Operations!$E6&gt;1,Operations!$E6,IF(Operations!$D6=0,0,Operations!$F6/(VLOOKUP(Operations!$D6,ImpDepLookup,2,FALSE)-VLOOKUP(Operations!$D6,ImpDepLookup,3,FALSE)*Operations!$G6^0.5-VLOOKUP(Operations!$D6,ImpDepLookup,4,FALSE)*(Operations!$G6*(Operations!$G6*Operations!$H6/Operations!$I6)^0.5))^2))</f>
        <v>57470</v>
      </c>
      <c r="O6" s="110">
        <f>IF(Operations!$C6="",0,(((Operations!$G6+1)*Operations!$H6/Operations!$I6/1000)^VLOOKUP(Operations!$C6,ImpRepairFac[],4,FALSE)-(Operations!$G6*Operations!$H6/Operations!$I6/1000)^VLOOKUP(Operations!$C6,ImpRepairFac[],4,FALSE))*Operations!$N6*VLOOKUP(Operations!$C6,ImpRepairFac[],3,FALSE)/Operations!$H6)</f>
        <v>2.0234978190244375</v>
      </c>
      <c r="P6" s="111">
        <f>IF(Operations!$N6=0,0,Operations!$N6*(VLOOKUP(Operations!$D6,ImpDepLookup,2,FALSE)-VLOOKUP(Operations!$D6,ImpDepLookup,3,FALSE)*Operations!$G6^0.5-VLOOKUP(Operations!$D6,ImpDepLookup,4,FALSE)*(Operations!$G6*Operations!$H6/Operations!$I6)^0.5)^2)</f>
        <v>23911.367906751726</v>
      </c>
      <c r="Q6" s="111">
        <f>IF(Operations!$N6=0,0,Operations!$N6*(VLOOKUP(Operations!$D6,ImpDepLookup,2,FALSE)-VLOOKUP(Operations!$D6,ImpDepLookup,3,FALSE)*(Operations!$G6+1)^0.5-VLOOKUP(Operations!$D6,ImpDepLookup,4,FALSE)*(Operations!$G6*Operations!$H6/Operations!$I6)^0.5)^2)</f>
        <v>22202.501225010794</v>
      </c>
      <c r="R6" s="110">
        <f>IF(Operations!$N6=0,0,IF(Operations!$I6*Operations!$H6=0,0,(Operations!$P6-Operations!$Q6)/(Operations!$H6)))</f>
        <v>0.85443334087046607</v>
      </c>
      <c r="S6" s="112">
        <f>IF(Operations!$H6=0,0,Operations!$P6*'General Variables'!$B$9/Operations!$H6)</f>
        <v>0.23911367906751727</v>
      </c>
      <c r="T6" s="112">
        <f>IF(Operations!$H6=0,0,Operations!$P6*'General Variables'!$B$10/Operations!$H6)</f>
        <v>0.47822735813503453</v>
      </c>
      <c r="U6" s="112">
        <f>SUM(Table3[[#This Row],[Depreciation per Unit]:[Opportunity Cost per Unit]])</f>
        <v>1.5717743780730178</v>
      </c>
      <c r="W6" s="1" t="s">
        <v>119</v>
      </c>
      <c r="X6" s="1" t="s">
        <v>116</v>
      </c>
      <c r="Y6" s="2" t="s">
        <v>120</v>
      </c>
      <c r="Z6" s="2" t="s">
        <v>121</v>
      </c>
      <c r="AA6" s="4">
        <v>1200</v>
      </c>
      <c r="AD6" s="1" t="s">
        <v>227</v>
      </c>
      <c r="AE6" s="1" t="s">
        <v>228</v>
      </c>
      <c r="AF6" s="1" t="s">
        <v>229</v>
      </c>
      <c r="AG6" s="1" t="s">
        <v>230</v>
      </c>
      <c r="AH6" s="1"/>
      <c r="AK6" s="35" t="s">
        <v>186</v>
      </c>
      <c r="AL6" s="56">
        <v>15</v>
      </c>
      <c r="AM6" s="56">
        <v>2</v>
      </c>
      <c r="AO6" s="54" t="str">
        <f>IF(PowerUnits[[#This Row],[Name]]=0,"",PowerUnits[[#This Row],[Name]])</f>
        <v>Electric Pump</v>
      </c>
    </row>
    <row r="7" spans="1:41" ht="12.75" customHeight="1" x14ac:dyDescent="0.25">
      <c r="A7" s="124" t="s">
        <v>273</v>
      </c>
      <c r="B7" s="103" t="s">
        <v>3</v>
      </c>
      <c r="C7" s="103"/>
      <c r="D7" s="103"/>
      <c r="E7" s="105"/>
      <c r="F7" s="106"/>
      <c r="G7" s="105"/>
      <c r="H7" s="105"/>
      <c r="I7" s="113" t="s">
        <v>354</v>
      </c>
      <c r="J7" s="108"/>
      <c r="K7" s="104"/>
      <c r="L7" s="106" t="s">
        <v>354</v>
      </c>
      <c r="M7" s="108"/>
      <c r="N7" s="109">
        <f>IF(Operations!$E7&gt;1,Operations!$E7,IF(Operations!$D7=0,0,Operations!$F7/(VLOOKUP(Operations!$D7,ImpDepLookup,2,FALSE)-VLOOKUP(Operations!$D7,ImpDepLookup,3,FALSE)*Operations!$G7^0.5-VLOOKUP(Operations!$D7,ImpDepLookup,4,FALSE)*(Operations!$G7*(Operations!$G7*Operations!$H7/Operations!$I7)^0.5))^2))</f>
        <v>0</v>
      </c>
      <c r="O7" s="110">
        <f>IF(Operations!$C7="",0,(((Operations!$G7+1)*Operations!$H7/Operations!$I7/1000)^VLOOKUP(Operations!$C7,ImpRepairFac[],4,FALSE)-(Operations!$G7*Operations!$H7/Operations!$I7/1000)^VLOOKUP(Operations!$C7,ImpRepairFac[],4,FALSE))*Operations!$N7*VLOOKUP(Operations!$C7,ImpRepairFac[],3,FALSE)/Operations!$H7)</f>
        <v>0</v>
      </c>
      <c r="P7" s="111">
        <f>IF(Operations!$N7=0,0,Operations!$N7*(VLOOKUP(Operations!$D7,ImpDepLookup,2,FALSE)-VLOOKUP(Operations!$D7,ImpDepLookup,3,FALSE)*Operations!$G7^0.5-VLOOKUP(Operations!$D7,ImpDepLookup,4,FALSE)*(Operations!$G7*Operations!$H7/Operations!$I7)^0.5)^2)</f>
        <v>0</v>
      </c>
      <c r="Q7" s="111">
        <f>IF(Operations!$N7=0,0,Operations!$N7*(VLOOKUP(Operations!$D7,ImpDepLookup,2,FALSE)-VLOOKUP(Operations!$D7,ImpDepLookup,3,FALSE)*(Operations!$G7+1)^0.5-VLOOKUP(Operations!$D7,ImpDepLookup,4,FALSE)*(Operations!$G7*Operations!$H7/Operations!$I7)^0.5)^2)</f>
        <v>0</v>
      </c>
      <c r="R7" s="110">
        <f>IF(Operations!$N7=0,0,IF(Operations!$I7*Operations!$H7=0,0,(Operations!$P7-Operations!$Q7)/(Operations!$H7)))</f>
        <v>0</v>
      </c>
      <c r="S7" s="112">
        <f>IF(Operations!$H7=0,0,Operations!$P7*'General Variables'!$B$9/Operations!$H7)</f>
        <v>0</v>
      </c>
      <c r="T7" s="112">
        <f>IF(Operations!$H7=0,0,Operations!$P7*'General Variables'!$B$10/Operations!$H7)</f>
        <v>0</v>
      </c>
      <c r="U7" s="112">
        <f>SUM(Table3[[#This Row],[Depreciation per Unit]:[Opportunity Cost per Unit]])</f>
        <v>0</v>
      </c>
      <c r="W7" s="1" t="s">
        <v>122</v>
      </c>
      <c r="X7" s="1" t="s">
        <v>123</v>
      </c>
      <c r="Y7" s="2" t="s">
        <v>120</v>
      </c>
      <c r="Z7" s="2" t="s">
        <v>121</v>
      </c>
      <c r="AA7" s="3">
        <v>2000</v>
      </c>
      <c r="AD7" s="1" t="s">
        <v>227</v>
      </c>
      <c r="AE7" s="1" t="s">
        <v>231</v>
      </c>
      <c r="AF7" s="1" t="s">
        <v>232</v>
      </c>
      <c r="AG7" s="1" t="s">
        <v>233</v>
      </c>
      <c r="AH7" s="1"/>
      <c r="AK7" s="35" t="s">
        <v>187</v>
      </c>
      <c r="AL7" s="56">
        <v>10</v>
      </c>
      <c r="AM7" s="56">
        <v>6</v>
      </c>
      <c r="AO7" s="54" t="str">
        <f>IF(PowerUnits[[#This Row],[Name]]=0,"",PowerUnits[[#This Row],[Name]])</f>
        <v>Diesel Pump for Pipe</v>
      </c>
    </row>
    <row r="8" spans="1:41" ht="12.75" customHeight="1" x14ac:dyDescent="0.25">
      <c r="A8" s="124" t="s">
        <v>274</v>
      </c>
      <c r="B8" s="103" t="s">
        <v>64</v>
      </c>
      <c r="C8" s="104" t="s">
        <v>306</v>
      </c>
      <c r="D8" s="104" t="s">
        <v>301</v>
      </c>
      <c r="E8" s="114">
        <v>19575</v>
      </c>
      <c r="F8" s="106"/>
      <c r="G8" s="105">
        <v>5</v>
      </c>
      <c r="H8" s="105">
        <v>500</v>
      </c>
      <c r="I8" s="113">
        <v>12.336448598130842</v>
      </c>
      <c r="J8" s="108">
        <v>1.1000000000000001</v>
      </c>
      <c r="K8" s="104" t="s">
        <v>416</v>
      </c>
      <c r="L8" s="106">
        <v>5.736448598130842</v>
      </c>
      <c r="M8" s="108"/>
      <c r="N8" s="109">
        <f>IF(Operations!$E8&gt;1,Operations!$E8,IF(Operations!$D8=0,0,Operations!$F8/(VLOOKUP(Operations!$D8,ImpDepLookup,2,FALSE)-VLOOKUP(Operations!$D8,ImpDepLookup,3,FALSE)*Operations!$G8^0.5-VLOOKUP(Operations!$D8,ImpDepLookup,4,FALSE)*(Operations!$G8*(Operations!$G8*Operations!$H8/Operations!$I8)^0.5))^2))</f>
        <v>19575</v>
      </c>
      <c r="O8" s="110">
        <f>IF(Operations!$C8="",0,(((Operations!$G8+1)*Operations!$H8/Operations!$I8/1000)^VLOOKUP(Operations!$C8,ImpRepairFac[],4,FALSE)-(Operations!$G8*Operations!$H8/Operations!$I8/1000)^VLOOKUP(Operations!$C8,ImpRepairFac[],4,FALSE))*Operations!$N8*VLOOKUP(Operations!$C8,ImpRepairFac[],3,FALSE)/Operations!$H8)</f>
        <v>0.34112288853259154</v>
      </c>
      <c r="P8" s="111">
        <f>IF(Operations!$N8=0,0,Operations!$N8*(VLOOKUP(Operations!$D8,ImpDepLookup,2,FALSE)-VLOOKUP(Operations!$D8,ImpDepLookup,3,FALSE)*Operations!$G8^0.5-VLOOKUP(Operations!$D8,ImpDepLookup,4,FALSE)*(Operations!$G8*Operations!$H8/Operations!$I8)^0.5)^2)</f>
        <v>6756.8433341886584</v>
      </c>
      <c r="Q8" s="111">
        <f>IF(Operations!$N8=0,0,Operations!$N8*(VLOOKUP(Operations!$D8,ImpDepLookup,2,FALSE)-VLOOKUP(Operations!$D8,ImpDepLookup,3,FALSE)*(Operations!$G8+1)^0.5-VLOOKUP(Operations!$D8,ImpDepLookup,4,FALSE)*(Operations!$G8*Operations!$H8/Operations!$I8)^0.5)^2)</f>
        <v>6317.5093909879488</v>
      </c>
      <c r="R8" s="110">
        <f>IF(Operations!$N8=0,0,IF(Operations!$I8*Operations!$H8=0,0,(Operations!$P8-Operations!$Q8)/(Operations!$H8)))</f>
        <v>0.87866788640141935</v>
      </c>
      <c r="S8" s="112">
        <f>IF(Operations!$H8=0,0,Operations!$P8*'General Variables'!$B$9/Operations!$H8)</f>
        <v>0.27027373336754634</v>
      </c>
      <c r="T8" s="112">
        <f>IF(Operations!$H8=0,0,Operations!$P8*'General Variables'!$B$10/Operations!$H8)</f>
        <v>0.54054746673509269</v>
      </c>
      <c r="U8" s="112">
        <f>SUM(Table3[[#This Row],[Depreciation per Unit]:[Opportunity Cost per Unit]])</f>
        <v>1.6894890865040584</v>
      </c>
      <c r="W8" s="1" t="s">
        <v>124</v>
      </c>
      <c r="X8" s="1" t="s">
        <v>108</v>
      </c>
      <c r="Y8" s="2" t="s">
        <v>125</v>
      </c>
      <c r="Z8" s="2" t="s">
        <v>126</v>
      </c>
      <c r="AA8" s="4">
        <v>2000</v>
      </c>
      <c r="AD8" s="1" t="s">
        <v>234</v>
      </c>
      <c r="AE8" s="1" t="s">
        <v>235</v>
      </c>
      <c r="AF8" s="1" t="s">
        <v>236</v>
      </c>
      <c r="AG8" s="1" t="s">
        <v>237</v>
      </c>
      <c r="AH8" s="1">
        <v>0</v>
      </c>
      <c r="AK8" s="35" t="s">
        <v>188</v>
      </c>
      <c r="AL8" s="56">
        <v>15</v>
      </c>
      <c r="AM8" s="56">
        <v>6</v>
      </c>
      <c r="AO8" s="54" t="str">
        <f>IF(PowerUnits[[#This Row],[Name]]=0,"",PowerUnits[[#This Row],[Name]])</f>
        <v>Windrower</v>
      </c>
    </row>
    <row r="9" spans="1:41" ht="12.75" customHeight="1" x14ac:dyDescent="0.25">
      <c r="A9" s="124" t="s">
        <v>422</v>
      </c>
      <c r="B9" s="103" t="s">
        <v>64</v>
      </c>
      <c r="C9" s="104" t="s">
        <v>307</v>
      </c>
      <c r="D9" s="104" t="s">
        <v>261</v>
      </c>
      <c r="E9" s="114">
        <v>52488</v>
      </c>
      <c r="F9" s="106"/>
      <c r="G9" s="105">
        <v>5</v>
      </c>
      <c r="H9" s="114">
        <v>1000</v>
      </c>
      <c r="I9" s="115">
        <v>7</v>
      </c>
      <c r="J9" s="108">
        <v>1.1000000000000001</v>
      </c>
      <c r="K9" s="104" t="s">
        <v>256</v>
      </c>
      <c r="L9" s="106">
        <v>10.5</v>
      </c>
      <c r="M9" s="108"/>
      <c r="N9" s="109">
        <f>IF(Operations!$E9&gt;1,Operations!$E9,IF(Operations!$D9=0,0,Operations!$F9/(VLOOKUP(Operations!$D9,ImpDepLookup,2,FALSE)-VLOOKUP(Operations!$D9,ImpDepLookup,3,FALSE)*Operations!$G9^0.5-VLOOKUP(Operations!$D9,ImpDepLookup,4,FALSE)*(Operations!$G9*(Operations!$G9*Operations!$H9/Operations!$I9)^0.5))^2))</f>
        <v>52488</v>
      </c>
      <c r="O9" s="110">
        <f>IF(Operations!$C9="",0,(((Operations!$G9+1)*Operations!$H9/Operations!$I9/1000)^VLOOKUP(Operations!$C9,ImpRepairFac[],4,FALSE)-(Operations!$G9*Operations!$H9/Operations!$I9/1000)^VLOOKUP(Operations!$C9,ImpRepairFac[],4,FALSE))*Operations!$N9*VLOOKUP(Operations!$C9,ImpRepairFac[],3,FALSE)/Operations!$H9)</f>
        <v>1.5133816440281234</v>
      </c>
      <c r="P9" s="111">
        <f>IF(Operations!$N9=0,0,Operations!$N9*(VLOOKUP(Operations!$D9,ImpDepLookup,2,FALSE)-VLOOKUP(Operations!$D9,ImpDepLookup,3,FALSE)*Operations!$G9^0.5-VLOOKUP(Operations!$D9,ImpDepLookup,4,FALSE)*(Operations!$G9*Operations!$H9/Operations!$I9)^0.5)^2)</f>
        <v>30560.794010715967</v>
      </c>
      <c r="Q9" s="111">
        <f>IF(Operations!$N9=0,0,Operations!$N9*(VLOOKUP(Operations!$D9,ImpDepLookup,2,FALSE)-VLOOKUP(Operations!$D9,ImpDepLookup,3,FALSE)*(Operations!$G9+1)^0.5-VLOOKUP(Operations!$D9,ImpDepLookup,4,FALSE)*(Operations!$G9*Operations!$H9/Operations!$I9)^0.5)^2)</f>
        <v>27805.130202170352</v>
      </c>
      <c r="R9" s="110">
        <f>IF(Operations!$N9=0,0,IF(Operations!$I9*Operations!$H9=0,0,(Operations!$P9-Operations!$Q9)/(Operations!$H9)))</f>
        <v>2.7556638085456142</v>
      </c>
      <c r="S9" s="112">
        <f>IF(Operations!$H9=0,0,Operations!$P9*'General Variables'!$B$9/Operations!$H9)</f>
        <v>0.61121588021431927</v>
      </c>
      <c r="T9" s="112">
        <f>IF(Operations!$H9=0,0,Operations!$P9*'General Variables'!$B$10/Operations!$H9)</f>
        <v>1.2224317604286385</v>
      </c>
      <c r="U9" s="112">
        <f>SUM(Table3[[#This Row],[Depreciation per Unit]:[Opportunity Cost per Unit]])</f>
        <v>4.589311449188572</v>
      </c>
      <c r="W9" s="1" t="s">
        <v>130</v>
      </c>
      <c r="X9" s="1" t="s">
        <v>108</v>
      </c>
      <c r="Y9" s="2" t="s">
        <v>131</v>
      </c>
      <c r="Z9" s="2" t="s">
        <v>126</v>
      </c>
      <c r="AA9" s="4">
        <v>2000</v>
      </c>
      <c r="AD9" s="1" t="s">
        <v>234</v>
      </c>
      <c r="AE9" s="1" t="s">
        <v>239</v>
      </c>
      <c r="AF9" s="1" t="s">
        <v>240</v>
      </c>
      <c r="AG9" s="1" t="s">
        <v>241</v>
      </c>
      <c r="AH9" s="1"/>
      <c r="AK9" s="35" t="s">
        <v>189</v>
      </c>
      <c r="AL9" s="56">
        <v>15</v>
      </c>
      <c r="AM9" s="56">
        <v>6</v>
      </c>
      <c r="AO9" s="54" t="str">
        <f>IF(PowerUnits[[#This Row],[Name]]=0,"",PowerUnits[[#This Row],[Name]])</f>
        <v>none</v>
      </c>
    </row>
    <row r="10" spans="1:41" ht="12.75" customHeight="1" x14ac:dyDescent="0.25">
      <c r="A10" s="124" t="s">
        <v>426</v>
      </c>
      <c r="B10" s="103" t="s">
        <v>64</v>
      </c>
      <c r="C10" s="104" t="s">
        <v>307</v>
      </c>
      <c r="D10" s="104" t="s">
        <v>261</v>
      </c>
      <c r="E10" s="105">
        <v>32114</v>
      </c>
      <c r="F10" s="106"/>
      <c r="G10" s="105">
        <v>5</v>
      </c>
      <c r="H10" s="114">
        <v>1000</v>
      </c>
      <c r="I10" s="113">
        <v>6.5</v>
      </c>
      <c r="J10" s="108">
        <v>1.1000000000000001</v>
      </c>
      <c r="K10" s="104" t="s">
        <v>256</v>
      </c>
      <c r="L10" s="106">
        <v>10.5</v>
      </c>
      <c r="M10" s="108"/>
      <c r="N10" s="109">
        <f>IF(Operations!$E10&gt;1,Operations!$E10,IF(Operations!$D10=0,0,Operations!$F10/(VLOOKUP(Operations!$D10,ImpDepLookup,2,FALSE)-VLOOKUP(Operations!$D10,ImpDepLookup,3,FALSE)*Operations!$G10^0.5-VLOOKUP(Operations!$D10,ImpDepLookup,4,FALSE)*(Operations!$G10*(Operations!$G10*Operations!$H10/Operations!$I10)^0.5))^2))</f>
        <v>32114</v>
      </c>
      <c r="O10" s="110">
        <f>IF(Operations!$C10="",0,(((Operations!$G10+1)*Operations!$H10/Operations!$I10/1000)^VLOOKUP(Operations!$C10,ImpRepairFac[],4,FALSE)-(Operations!$G10*Operations!$H10/Operations!$I10/1000)^VLOOKUP(Operations!$C10,ImpRepairFac[],4,FALSE))*Operations!$N10*VLOOKUP(Operations!$C10,ImpRepairFac[],3,FALSE)/Operations!$H10)</f>
        <v>1.0980133289151959</v>
      </c>
      <c r="P10" s="111">
        <f>IF(Operations!$N10=0,0,Operations!$N10*(VLOOKUP(Operations!$D10,ImpDepLookup,2,FALSE)-VLOOKUP(Operations!$D10,ImpDepLookup,3,FALSE)*Operations!$G10^0.5-VLOOKUP(Operations!$D10,ImpDepLookup,4,FALSE)*(Operations!$G10*Operations!$H10/Operations!$I10)^0.5)^2)</f>
        <v>18698.16603528678</v>
      </c>
      <c r="Q10" s="111">
        <f>IF(Operations!$N10=0,0,Operations!$N10*(VLOOKUP(Operations!$D10,ImpDepLookup,2,FALSE)-VLOOKUP(Operations!$D10,ImpDepLookup,3,FALSE)*(Operations!$G10+1)^0.5-VLOOKUP(Operations!$D10,ImpDepLookup,4,FALSE)*(Operations!$G10*Operations!$H10/Operations!$I10)^0.5)^2)</f>
        <v>17012.154231681503</v>
      </c>
      <c r="R10" s="110">
        <f>IF(Operations!$N10=0,0,IF(Operations!$I10*Operations!$H10=0,0,(Operations!$P10-Operations!$Q10)/(Operations!$H10)))</f>
        <v>1.6860118036052771</v>
      </c>
      <c r="S10" s="112">
        <f>IF(Operations!$H10=0,0,Operations!$P10*'General Variables'!$B$9/Operations!$H10)</f>
        <v>0.37396332070573562</v>
      </c>
      <c r="T10" s="112">
        <f>IF(Operations!$H10=0,0,Operations!$P10*'General Variables'!$B$10/Operations!$H10)</f>
        <v>0.74792664141147125</v>
      </c>
      <c r="U10" s="112">
        <f>SUM(Table3[[#This Row],[Depreciation per Unit]:[Opportunity Cost per Unit]])</f>
        <v>2.8079017657224838</v>
      </c>
      <c r="W10" s="1" t="s">
        <v>134</v>
      </c>
      <c r="X10" s="1" t="s">
        <v>123</v>
      </c>
      <c r="Y10" s="2" t="s">
        <v>135</v>
      </c>
      <c r="Z10" s="2" t="s">
        <v>121</v>
      </c>
      <c r="AA10" s="4">
        <v>2000</v>
      </c>
      <c r="AD10" s="1" t="s">
        <v>242</v>
      </c>
      <c r="AE10" s="1" t="s">
        <v>243</v>
      </c>
      <c r="AF10" s="1" t="s">
        <v>244</v>
      </c>
      <c r="AG10" s="1" t="s">
        <v>245</v>
      </c>
      <c r="AH10" s="1"/>
      <c r="AK10" s="35" t="s">
        <v>190</v>
      </c>
      <c r="AL10" s="56">
        <v>15</v>
      </c>
      <c r="AM10" s="56">
        <v>6</v>
      </c>
      <c r="AO10" s="54" t="str">
        <f>IF(PowerUnits[[#This Row],[Name]]=0,"",PowerUnits[[#This Row],[Name]])</f>
        <v/>
      </c>
    </row>
    <row r="11" spans="1:41" ht="12.75" customHeight="1" x14ac:dyDescent="0.25">
      <c r="A11" s="124" t="s">
        <v>424</v>
      </c>
      <c r="B11" s="103" t="s">
        <v>64</v>
      </c>
      <c r="C11" s="104" t="s">
        <v>307</v>
      </c>
      <c r="D11" s="104" t="s">
        <v>261</v>
      </c>
      <c r="E11" s="105">
        <v>32114</v>
      </c>
      <c r="F11" s="106"/>
      <c r="G11" s="105">
        <v>5</v>
      </c>
      <c r="H11" s="114">
        <v>1000</v>
      </c>
      <c r="I11" s="113">
        <v>6.5</v>
      </c>
      <c r="J11" s="108">
        <v>1.1000000000000001</v>
      </c>
      <c r="K11" s="104" t="s">
        <v>256</v>
      </c>
      <c r="L11" s="106">
        <v>10.5</v>
      </c>
      <c r="M11" s="108"/>
      <c r="N11" s="109">
        <f>IF(Operations!$E11&gt;1,Operations!$E11,IF(Operations!$D11=0,0,Operations!$F11/(VLOOKUP(Operations!$D11,ImpDepLookup,2,FALSE)-VLOOKUP(Operations!$D11,ImpDepLookup,3,FALSE)*Operations!$G11^0.5-VLOOKUP(Operations!$D11,ImpDepLookup,4,FALSE)*(Operations!$G11*(Operations!$G11*Operations!$H11/Operations!$I11)^0.5))^2))</f>
        <v>32114</v>
      </c>
      <c r="O11" s="110">
        <f>IF(Operations!$C11="",0,(((Operations!$G11+1)*Operations!$H11/Operations!$I11/1000)^VLOOKUP(Operations!$C11,ImpRepairFac[],4,FALSE)-(Operations!$G11*Operations!$H11/Operations!$I11/1000)^VLOOKUP(Operations!$C11,ImpRepairFac[],4,FALSE))*Operations!$N11*VLOOKUP(Operations!$C11,ImpRepairFac[],3,FALSE)/Operations!$H11)</f>
        <v>1.0980133289151959</v>
      </c>
      <c r="P11" s="111">
        <f>IF(Operations!$N11=0,0,Operations!$N11*(VLOOKUP(Operations!$D11,ImpDepLookup,2,FALSE)-VLOOKUP(Operations!$D11,ImpDepLookup,3,FALSE)*Operations!$G11^0.5-VLOOKUP(Operations!$D11,ImpDepLookup,4,FALSE)*(Operations!$G11*Operations!$H11/Operations!$I11)^0.5)^2)</f>
        <v>18698.16603528678</v>
      </c>
      <c r="Q11" s="111">
        <f>IF(Operations!$N11=0,0,Operations!$N11*(VLOOKUP(Operations!$D11,ImpDepLookup,2,FALSE)-VLOOKUP(Operations!$D11,ImpDepLookup,3,FALSE)*(Operations!$G11+1)^0.5-VLOOKUP(Operations!$D11,ImpDepLookup,4,FALSE)*(Operations!$G11*Operations!$H11/Operations!$I11)^0.5)^2)</f>
        <v>17012.154231681503</v>
      </c>
      <c r="R11" s="110">
        <f>IF(Operations!$N11=0,0,IF(Operations!$I11*Operations!$H11=0,0,(Operations!$P11-Operations!$Q11)/(Operations!$H11)))</f>
        <v>1.6860118036052771</v>
      </c>
      <c r="S11" s="112">
        <f>IF(Operations!$H11=0,0,Operations!$P11*'General Variables'!$B$9/Operations!$H11)</f>
        <v>0.37396332070573562</v>
      </c>
      <c r="T11" s="112">
        <f>IF(Operations!$H11=0,0,Operations!$P11*'General Variables'!$B$10/Operations!$H11)</f>
        <v>0.74792664141147125</v>
      </c>
      <c r="U11" s="112">
        <f>SUM(Table3[[#This Row],[Depreciation per Unit]:[Opportunity Cost per Unit]])</f>
        <v>2.8079017657224838</v>
      </c>
      <c r="W11" s="1" t="s">
        <v>136</v>
      </c>
      <c r="X11" s="1" t="s">
        <v>123</v>
      </c>
      <c r="Y11" s="2" t="s">
        <v>137</v>
      </c>
      <c r="Z11" s="2" t="s">
        <v>138</v>
      </c>
      <c r="AA11" s="3">
        <v>2000</v>
      </c>
      <c r="AD11" s="1" t="s">
        <v>189</v>
      </c>
      <c r="AE11" s="1" t="s">
        <v>353</v>
      </c>
      <c r="AF11" s="1" t="s">
        <v>232</v>
      </c>
      <c r="AG11" s="1" t="s">
        <v>233</v>
      </c>
      <c r="AH11" s="1"/>
      <c r="AK11" s="35" t="s">
        <v>191</v>
      </c>
      <c r="AL11" s="56">
        <v>15</v>
      </c>
      <c r="AM11" s="56">
        <v>6</v>
      </c>
      <c r="AO11" s="54" t="str">
        <f>IF(PowerUnits[[#This Row],[Name]]=0,"",PowerUnits[[#This Row],[Name]])</f>
        <v/>
      </c>
    </row>
    <row r="12" spans="1:41" ht="12.75" customHeight="1" x14ac:dyDescent="0.25">
      <c r="A12" s="124" t="s">
        <v>267</v>
      </c>
      <c r="B12" s="103" t="s">
        <v>64</v>
      </c>
      <c r="C12" s="104" t="s">
        <v>307</v>
      </c>
      <c r="D12" s="104" t="s">
        <v>261</v>
      </c>
      <c r="E12" s="114">
        <v>52488</v>
      </c>
      <c r="F12" s="106"/>
      <c r="G12" s="105">
        <v>5</v>
      </c>
      <c r="H12" s="114">
        <v>1000</v>
      </c>
      <c r="I12" s="113">
        <v>7</v>
      </c>
      <c r="J12" s="108">
        <v>1.1000000000000001</v>
      </c>
      <c r="K12" s="104" t="s">
        <v>256</v>
      </c>
      <c r="L12" s="106">
        <v>10.5</v>
      </c>
      <c r="M12" s="108"/>
      <c r="N12" s="109">
        <f>IF(Operations!$E12&gt;1,Operations!$E12,IF(Operations!$D12=0,0,Operations!$F12/(VLOOKUP(Operations!$D12,ImpDepLookup,2,FALSE)-VLOOKUP(Operations!$D12,ImpDepLookup,3,FALSE)*Operations!$G12^0.5-VLOOKUP(Operations!$D12,ImpDepLookup,4,FALSE)*(Operations!$G12*(Operations!$G12*Operations!$H12/Operations!$I12)^0.5))^2))</f>
        <v>52488</v>
      </c>
      <c r="O12" s="110">
        <f>IF(Operations!$C12="",0,(((Operations!$G12+1)*Operations!$H12/Operations!$I12/1000)^VLOOKUP(Operations!$C12,ImpRepairFac[],4,FALSE)-(Operations!$G12*Operations!$H12/Operations!$I12/1000)^VLOOKUP(Operations!$C12,ImpRepairFac[],4,FALSE))*Operations!$N12*VLOOKUP(Operations!$C12,ImpRepairFac[],3,FALSE)/Operations!$H12)</f>
        <v>1.5133816440281234</v>
      </c>
      <c r="P12" s="111">
        <f>IF(Operations!$N12=0,0,Operations!$N12*(VLOOKUP(Operations!$D12,ImpDepLookup,2,FALSE)-VLOOKUP(Operations!$D12,ImpDepLookup,3,FALSE)*Operations!$G12^0.5-VLOOKUP(Operations!$D12,ImpDepLookup,4,FALSE)*(Operations!$G12*Operations!$H12/Operations!$I12)^0.5)^2)</f>
        <v>30560.794010715967</v>
      </c>
      <c r="Q12" s="111">
        <f>IF(Operations!$N12=0,0,Operations!$N12*(VLOOKUP(Operations!$D12,ImpDepLookup,2,FALSE)-VLOOKUP(Operations!$D12,ImpDepLookup,3,FALSE)*(Operations!$G12+1)^0.5-VLOOKUP(Operations!$D12,ImpDepLookup,4,FALSE)*(Operations!$G12*Operations!$H12/Operations!$I12)^0.5)^2)</f>
        <v>27805.130202170352</v>
      </c>
      <c r="R12" s="110">
        <f>IF(Operations!$N12=0,0,IF(Operations!$I12*Operations!$H12=0,0,(Operations!$P12-Operations!$Q12)/(Operations!$H12)))</f>
        <v>2.7556638085456142</v>
      </c>
      <c r="S12" s="112">
        <f>IF(Operations!$H12=0,0,Operations!$P12*'General Variables'!$B$9/Operations!$H12)</f>
        <v>0.61121588021431927</v>
      </c>
      <c r="T12" s="112">
        <f>IF(Operations!$H12=0,0,Operations!$P12*'General Variables'!$B$10/Operations!$H12)</f>
        <v>1.2224317604286385</v>
      </c>
      <c r="U12" s="112">
        <f>SUM(Table3[[#This Row],[Depreciation per Unit]:[Opportunity Cost per Unit]])</f>
        <v>4.589311449188572</v>
      </c>
      <c r="W12" s="1" t="s">
        <v>139</v>
      </c>
      <c r="X12" s="1" t="s">
        <v>123</v>
      </c>
      <c r="Y12" s="2" t="s">
        <v>140</v>
      </c>
      <c r="Z12" s="2" t="s">
        <v>141</v>
      </c>
      <c r="AA12" s="3">
        <v>2000</v>
      </c>
      <c r="AK12" s="35" t="s">
        <v>192</v>
      </c>
      <c r="AL12" s="56">
        <v>15</v>
      </c>
      <c r="AM12" s="56">
        <v>6</v>
      </c>
    </row>
    <row r="13" spans="1:41" ht="12.75" customHeight="1" x14ac:dyDescent="0.25">
      <c r="A13" s="124" t="s">
        <v>269</v>
      </c>
      <c r="B13" s="103" t="s">
        <v>64</v>
      </c>
      <c r="C13" s="104" t="s">
        <v>307</v>
      </c>
      <c r="D13" s="104" t="s">
        <v>261</v>
      </c>
      <c r="E13" s="114">
        <v>32114</v>
      </c>
      <c r="F13" s="106"/>
      <c r="G13" s="105">
        <v>5</v>
      </c>
      <c r="H13" s="105">
        <v>1000</v>
      </c>
      <c r="I13" s="113">
        <v>5</v>
      </c>
      <c r="J13" s="108">
        <v>1.1000000000000001</v>
      </c>
      <c r="K13" s="104" t="s">
        <v>256</v>
      </c>
      <c r="L13" s="106">
        <v>10.5</v>
      </c>
      <c r="M13" s="108"/>
      <c r="N13" s="109">
        <f>IF(Operations!$E13&gt;1,Operations!$E13,IF(Operations!$D13=0,0,Operations!$F13/(VLOOKUP(Operations!$D13,ImpDepLookup,2,FALSE)-VLOOKUP(Operations!$D13,ImpDepLookup,3,FALSE)*Operations!$G13^0.5-VLOOKUP(Operations!$D13,ImpDepLookup,4,FALSE)*(Operations!$G13*(Operations!$G13*Operations!$H13/Operations!$I13)^0.5))^2))</f>
        <v>32114</v>
      </c>
      <c r="O13" s="110">
        <f>IF(Operations!$C13="",0,(((Operations!$G13+1)*Operations!$H13/Operations!$I13/1000)^VLOOKUP(Operations!$C13,ImpRepairFac[],4,FALSE)-(Operations!$G13*Operations!$H13/Operations!$I13/1000)^VLOOKUP(Operations!$C13,ImpRepairFac[],4,FALSE))*Operations!$N13*VLOOKUP(Operations!$C13,ImpRepairFac[],3,FALSE)/Operations!$H13)</f>
        <v>2.0076006258839998</v>
      </c>
      <c r="P13" s="111">
        <f>IF(Operations!$N13=0,0,Operations!$N13*(VLOOKUP(Operations!$D13,ImpDepLookup,2,FALSE)-VLOOKUP(Operations!$D13,ImpDepLookup,3,FALSE)*Operations!$G13^0.5-VLOOKUP(Operations!$D13,ImpDepLookup,4,FALSE)*(Operations!$G13*Operations!$H13/Operations!$I13)^0.5)^2)</f>
        <v>18698.16603528678</v>
      </c>
      <c r="Q13" s="111">
        <f>IF(Operations!$N13=0,0,Operations!$N13*(VLOOKUP(Operations!$D13,ImpDepLookup,2,FALSE)-VLOOKUP(Operations!$D13,ImpDepLookup,3,FALSE)*(Operations!$G13+1)^0.5-VLOOKUP(Operations!$D13,ImpDepLookup,4,FALSE)*(Operations!$G13*Operations!$H13/Operations!$I13)^0.5)^2)</f>
        <v>17012.154231681503</v>
      </c>
      <c r="R13" s="110">
        <f>IF(Operations!$N13=0,0,IF(Operations!$I13*Operations!$H13=0,0,(Operations!$P13-Operations!$Q13)/(Operations!$H13)))</f>
        <v>1.6860118036052771</v>
      </c>
      <c r="S13" s="112">
        <f>IF(Operations!$H13=0,0,Operations!$P13*'General Variables'!$B$9/Operations!$H13)</f>
        <v>0.37396332070573562</v>
      </c>
      <c r="T13" s="112">
        <f>IF(Operations!$H13=0,0,Operations!$P13*'General Variables'!$B$10/Operations!$H13)</f>
        <v>0.74792664141147125</v>
      </c>
      <c r="U13" s="112">
        <f>SUM(Table3[[#This Row],[Depreciation per Unit]:[Opportunity Cost per Unit]])</f>
        <v>2.8079017657224838</v>
      </c>
      <c r="W13" s="1" t="s">
        <v>142</v>
      </c>
      <c r="X13" s="1" t="s">
        <v>123</v>
      </c>
      <c r="Y13" s="2" t="s">
        <v>140</v>
      </c>
      <c r="Z13" s="2" t="s">
        <v>141</v>
      </c>
      <c r="AA13" s="4">
        <v>2000</v>
      </c>
      <c r="AK13" s="35" t="s">
        <v>193</v>
      </c>
      <c r="AL13" s="56">
        <v>15</v>
      </c>
      <c r="AM13" s="56">
        <v>2</v>
      </c>
    </row>
    <row r="14" spans="1:41" ht="12.75" customHeight="1" x14ac:dyDescent="0.25">
      <c r="A14" s="124" t="s">
        <v>268</v>
      </c>
      <c r="B14" s="103" t="s">
        <v>64</v>
      </c>
      <c r="C14" s="104" t="s">
        <v>307</v>
      </c>
      <c r="D14" s="104" t="s">
        <v>261</v>
      </c>
      <c r="E14" s="105">
        <v>32114</v>
      </c>
      <c r="F14" s="106"/>
      <c r="G14" s="105">
        <v>5</v>
      </c>
      <c r="H14" s="114">
        <v>1000</v>
      </c>
      <c r="I14" s="113">
        <v>6</v>
      </c>
      <c r="J14" s="108">
        <v>1.1000000000000001</v>
      </c>
      <c r="K14" s="104" t="s">
        <v>256</v>
      </c>
      <c r="L14" s="106">
        <v>10.5</v>
      </c>
      <c r="M14" s="108"/>
      <c r="N14" s="109">
        <f>IF(Operations!$E14&gt;1,Operations!$E14,IF(Operations!$D14=0,0,Operations!$F14/(VLOOKUP(Operations!$D14,ImpDepLookup,2,FALSE)-VLOOKUP(Operations!$D14,ImpDepLookup,3,FALSE)*Operations!$G14^0.5-VLOOKUP(Operations!$D14,ImpDepLookup,4,FALSE)*(Operations!$G14*(Operations!$G14*Operations!$H14/Operations!$I14)^0.5))^2))</f>
        <v>32114</v>
      </c>
      <c r="O14" s="110">
        <f>IF(Operations!$C14="",0,(((Operations!$G14+1)*Operations!$H14/Operations!$I14/1000)^VLOOKUP(Operations!$C14,ImpRepairFac[],4,FALSE)-(Operations!$G14*Operations!$H14/Operations!$I14/1000)^VLOOKUP(Operations!$C14,ImpRepairFac[],4,FALSE))*Operations!$N14*VLOOKUP(Operations!$C14,ImpRepairFac[],3,FALSE)/Operations!$H14)</f>
        <v>1.3199590454329782</v>
      </c>
      <c r="P14" s="111">
        <f>IF(Operations!$N14=0,0,Operations!$N14*(VLOOKUP(Operations!$D14,ImpDepLookup,2,FALSE)-VLOOKUP(Operations!$D14,ImpDepLookup,3,FALSE)*Operations!$G14^0.5-VLOOKUP(Operations!$D14,ImpDepLookup,4,FALSE)*(Operations!$G14*Operations!$H14/Operations!$I14)^0.5)^2)</f>
        <v>18698.16603528678</v>
      </c>
      <c r="Q14" s="111">
        <f>IF(Operations!$N14=0,0,Operations!$N14*(VLOOKUP(Operations!$D14,ImpDepLookup,2,FALSE)-VLOOKUP(Operations!$D14,ImpDepLookup,3,FALSE)*(Operations!$G14+1)^0.5-VLOOKUP(Operations!$D14,ImpDepLookup,4,FALSE)*(Operations!$G14*Operations!$H14/Operations!$I14)^0.5)^2)</f>
        <v>17012.154231681503</v>
      </c>
      <c r="R14" s="110">
        <f>IF(Operations!$N14=0,0,IF(Operations!$I14*Operations!$H14=0,0,(Operations!$P14-Operations!$Q14)/(Operations!$H14)))</f>
        <v>1.6860118036052771</v>
      </c>
      <c r="S14" s="112">
        <f>IF(Operations!$H14=0,0,Operations!$P14*'General Variables'!$B$9/Operations!$H14)</f>
        <v>0.37396332070573562</v>
      </c>
      <c r="T14" s="112">
        <f>IF(Operations!$H14=0,0,Operations!$P14*'General Variables'!$B$10/Operations!$H14)</f>
        <v>0.74792664141147125</v>
      </c>
      <c r="U14" s="112">
        <f>SUM(Table3[[#This Row],[Depreciation per Unit]:[Opportunity Cost per Unit]])</f>
        <v>2.8079017657224838</v>
      </c>
      <c r="W14" s="1" t="s">
        <v>143</v>
      </c>
      <c r="X14" s="1" t="s">
        <v>123</v>
      </c>
      <c r="Y14" s="2" t="s">
        <v>144</v>
      </c>
      <c r="Z14" s="2" t="s">
        <v>129</v>
      </c>
      <c r="AA14" s="4">
        <v>1500</v>
      </c>
      <c r="AK14" s="35" t="s">
        <v>194</v>
      </c>
      <c r="AL14" s="56">
        <v>20</v>
      </c>
      <c r="AM14" s="56">
        <v>1</v>
      </c>
    </row>
    <row r="15" spans="1:41" ht="12.75" customHeight="1" x14ac:dyDescent="0.25">
      <c r="A15" s="124" t="s">
        <v>266</v>
      </c>
      <c r="B15" s="103" t="s">
        <v>64</v>
      </c>
      <c r="C15" s="104" t="s">
        <v>307</v>
      </c>
      <c r="D15" s="104" t="s">
        <v>261</v>
      </c>
      <c r="E15" s="105">
        <v>32114</v>
      </c>
      <c r="F15" s="106"/>
      <c r="G15" s="105">
        <v>5</v>
      </c>
      <c r="H15" s="114">
        <v>1000</v>
      </c>
      <c r="I15" s="113">
        <v>6.5</v>
      </c>
      <c r="J15" s="108">
        <v>1.1000000000000001</v>
      </c>
      <c r="K15" s="104" t="s">
        <v>256</v>
      </c>
      <c r="L15" s="106">
        <v>10.5</v>
      </c>
      <c r="M15" s="108"/>
      <c r="N15" s="109">
        <f>IF(Operations!$E15&gt;1,Operations!$E15,IF(Operations!$D15=0,0,Operations!$F15/(VLOOKUP(Operations!$D15,ImpDepLookup,2,FALSE)-VLOOKUP(Operations!$D15,ImpDepLookup,3,FALSE)*Operations!$G15^0.5-VLOOKUP(Operations!$D15,ImpDepLookup,4,FALSE)*(Operations!$G15*(Operations!$G15*Operations!$H15/Operations!$I15)^0.5))^2))</f>
        <v>32114</v>
      </c>
      <c r="O15" s="110">
        <f>IF(Operations!$C15="",0,(((Operations!$G15+1)*Operations!$H15/Operations!$I15/1000)^VLOOKUP(Operations!$C15,ImpRepairFac[],4,FALSE)-(Operations!$G15*Operations!$H15/Operations!$I15/1000)^VLOOKUP(Operations!$C15,ImpRepairFac[],4,FALSE))*Operations!$N15*VLOOKUP(Operations!$C15,ImpRepairFac[],3,FALSE)/Operations!$H15)</f>
        <v>1.0980133289151959</v>
      </c>
      <c r="P15" s="111">
        <f>IF(Operations!$N15=0,0,Operations!$N15*(VLOOKUP(Operations!$D15,ImpDepLookup,2,FALSE)-VLOOKUP(Operations!$D15,ImpDepLookup,3,FALSE)*Operations!$G15^0.5-VLOOKUP(Operations!$D15,ImpDepLookup,4,FALSE)*(Operations!$G15*Operations!$H15/Operations!$I15)^0.5)^2)</f>
        <v>18698.16603528678</v>
      </c>
      <c r="Q15" s="111">
        <f>IF(Operations!$N15=0,0,Operations!$N15*(VLOOKUP(Operations!$D15,ImpDepLookup,2,FALSE)-VLOOKUP(Operations!$D15,ImpDepLookup,3,FALSE)*(Operations!$G15+1)^0.5-VLOOKUP(Operations!$D15,ImpDepLookup,4,FALSE)*(Operations!$G15*Operations!$H15/Operations!$I15)^0.5)^2)</f>
        <v>17012.154231681503</v>
      </c>
      <c r="R15" s="110">
        <f>IF(Operations!$N15=0,0,IF(Operations!$I15*Operations!$H15=0,0,(Operations!$P15-Operations!$Q15)/(Operations!$H15)))</f>
        <v>1.6860118036052771</v>
      </c>
      <c r="S15" s="112">
        <f>IF(Operations!$H15=0,0,Operations!$P15*'General Variables'!$B$9/Operations!$H15)</f>
        <v>0.37396332070573562</v>
      </c>
      <c r="T15" s="112">
        <f>IF(Operations!$H15=0,0,Operations!$P15*'General Variables'!$B$10/Operations!$H15)</f>
        <v>0.74792664141147125</v>
      </c>
      <c r="U15" s="112">
        <f>SUM(Table3[[#This Row],[Depreciation per Unit]:[Opportunity Cost per Unit]])</f>
        <v>2.8079017657224838</v>
      </c>
      <c r="W15" s="1" t="s">
        <v>145</v>
      </c>
      <c r="X15" s="1" t="s">
        <v>116</v>
      </c>
      <c r="Y15" s="2" t="s">
        <v>146</v>
      </c>
      <c r="Z15" s="2" t="s">
        <v>147</v>
      </c>
      <c r="AA15" s="4">
        <v>1200</v>
      </c>
      <c r="AK15" s="35" t="s">
        <v>195</v>
      </c>
      <c r="AL15" s="56">
        <v>15</v>
      </c>
      <c r="AM15" s="56">
        <v>3</v>
      </c>
    </row>
    <row r="16" spans="1:41" ht="12.75" customHeight="1" x14ac:dyDescent="0.25">
      <c r="A16" s="124" t="s">
        <v>512</v>
      </c>
      <c r="B16" s="103" t="s">
        <v>64</v>
      </c>
      <c r="C16" s="104" t="s">
        <v>307</v>
      </c>
      <c r="D16" s="104" t="s">
        <v>261</v>
      </c>
      <c r="E16" s="105">
        <v>32114</v>
      </c>
      <c r="F16" s="106"/>
      <c r="G16" s="105">
        <v>5</v>
      </c>
      <c r="H16" s="105">
        <v>1000</v>
      </c>
      <c r="I16" s="107">
        <v>5</v>
      </c>
      <c r="J16" s="108">
        <v>1.1000000000000001</v>
      </c>
      <c r="K16" s="104" t="s">
        <v>256</v>
      </c>
      <c r="L16" s="106">
        <v>10.5</v>
      </c>
      <c r="M16" s="108"/>
      <c r="N16" s="109">
        <f>IF(Operations!$E16&gt;1,Operations!$E16,IF(Operations!$D16=0,0,Operations!$F16/(VLOOKUP(Operations!$D16,ImpDepLookup,2,FALSE)-VLOOKUP(Operations!$D16,ImpDepLookup,3,FALSE)*Operations!$G16^0.5-VLOOKUP(Operations!$D16,ImpDepLookup,4,FALSE)*(Operations!$G16*(Operations!$G16*Operations!$H16/Operations!$I16)^0.5))^2))</f>
        <v>32114</v>
      </c>
      <c r="O16" s="110">
        <f>IF(Operations!$C16="",0,(((Operations!$G16+1)*Operations!$H16/Operations!$I16/1000)^VLOOKUP(Operations!$C16,ImpRepairFac[],4,FALSE)-(Operations!$G16*Operations!$H16/Operations!$I16/1000)^VLOOKUP(Operations!$C16,ImpRepairFac[],4,FALSE))*Operations!$N16*VLOOKUP(Operations!$C16,ImpRepairFac[],3,FALSE)/Operations!$H16)</f>
        <v>2.0076006258839998</v>
      </c>
      <c r="P16" s="111">
        <f>IF(Operations!$N16=0,0,Operations!$N16*(VLOOKUP(Operations!$D16,ImpDepLookup,2,FALSE)-VLOOKUP(Operations!$D16,ImpDepLookup,3,FALSE)*Operations!$G16^0.5-VLOOKUP(Operations!$D16,ImpDepLookup,4,FALSE)*(Operations!$G16*Operations!$H16/Operations!$I16)^0.5)^2)</f>
        <v>18698.16603528678</v>
      </c>
      <c r="Q16" s="111">
        <f>IF(Operations!$N16=0,0,Operations!$N16*(VLOOKUP(Operations!$D16,ImpDepLookup,2,FALSE)-VLOOKUP(Operations!$D16,ImpDepLookup,3,FALSE)*(Operations!$G16+1)^0.5-VLOOKUP(Operations!$D16,ImpDepLookup,4,FALSE)*(Operations!$G16*Operations!$H16/Operations!$I16)^0.5)^2)</f>
        <v>17012.154231681503</v>
      </c>
      <c r="R16" s="110">
        <f>IF(Operations!$N16=0,0,IF(Operations!$I16*Operations!$H16=0,0,(Operations!$P16-Operations!$Q16)/(Operations!$H16)))</f>
        <v>1.6860118036052771</v>
      </c>
      <c r="S16" s="112">
        <f>IF(Operations!$H16=0,0,Operations!$P16*'General Variables'!$B$9/Operations!$H16)</f>
        <v>0.37396332070573562</v>
      </c>
      <c r="T16" s="112">
        <f>IF(Operations!$H16=0,0,Operations!$P16*'General Variables'!$B$10/Operations!$H16)</f>
        <v>0.74792664141147125</v>
      </c>
      <c r="U16" s="112">
        <f>SUM(Table3[[#This Row],[Depreciation per Unit]:[Opportunity Cost per Unit]])</f>
        <v>2.8079017657224838</v>
      </c>
      <c r="W16" s="1" t="s">
        <v>148</v>
      </c>
      <c r="X16" s="1" t="s">
        <v>116</v>
      </c>
      <c r="Y16" s="2" t="s">
        <v>149</v>
      </c>
      <c r="Z16" s="2" t="s">
        <v>110</v>
      </c>
      <c r="AA16" s="3">
        <v>1500</v>
      </c>
      <c r="AK16" s="216" t="s">
        <v>250</v>
      </c>
      <c r="AL16" s="216"/>
      <c r="AM16" s="216"/>
    </row>
    <row r="17" spans="1:39" ht="12.75" customHeight="1" x14ac:dyDescent="0.25">
      <c r="A17" s="124" t="s">
        <v>491</v>
      </c>
      <c r="B17" s="103" t="s">
        <v>64</v>
      </c>
      <c r="C17" s="104" t="s">
        <v>307</v>
      </c>
      <c r="D17" s="104" t="s">
        <v>261</v>
      </c>
      <c r="E17" s="105">
        <v>32114</v>
      </c>
      <c r="F17" s="106">
        <v>15000</v>
      </c>
      <c r="G17" s="105">
        <v>5</v>
      </c>
      <c r="H17" s="114">
        <v>1000</v>
      </c>
      <c r="I17" s="116">
        <v>7</v>
      </c>
      <c r="J17" s="108">
        <v>1.1000000000000001</v>
      </c>
      <c r="K17" s="104" t="s">
        <v>256</v>
      </c>
      <c r="L17" s="106">
        <v>10.468032786885246</v>
      </c>
      <c r="M17" s="108"/>
      <c r="N17" s="109">
        <f>IF(Operations!$E17&gt;1,Operations!$E17,IF(Operations!$D17=0,0,Operations!$F17/(VLOOKUP(Operations!$D17,ImpDepLookup,2,FALSE)-VLOOKUP(Operations!$D17,ImpDepLookup,3,FALSE)*Operations!$G17^0.5-VLOOKUP(Operations!$D17,ImpDepLookup,4,FALSE)*(Operations!$G17*(Operations!$G17*Operations!$H17/Operations!$I17)^0.5))^2))</f>
        <v>32114</v>
      </c>
      <c r="O17" s="110">
        <f>IF(Operations!$C17="",0,(((Operations!$G17+1)*Operations!$H17/Operations!$I17/1000)^VLOOKUP(Operations!$C17,ImpRepairFac[],4,FALSE)-(Operations!$G17*Operations!$H17/Operations!$I17/1000)^VLOOKUP(Operations!$C17,ImpRepairFac[],4,FALSE))*Operations!$N17*VLOOKUP(Operations!$C17,ImpRepairFac[],3,FALSE)/Operations!$H17)</f>
        <v>0.9259399884986883</v>
      </c>
      <c r="P17" s="111">
        <f>IF(Operations!$N17=0,0,Operations!$N17*(VLOOKUP(Operations!$D17,ImpDepLookup,2,FALSE)-VLOOKUP(Operations!$D17,ImpDepLookup,3,FALSE)*Operations!$G17^0.5-VLOOKUP(Operations!$D17,ImpDepLookup,4,FALSE)*(Operations!$G17*Operations!$H17/Operations!$I17)^0.5)^2)</f>
        <v>18698.16603528678</v>
      </c>
      <c r="Q17" s="111">
        <f>IF(Operations!$N17=0,0,Operations!$N17*(VLOOKUP(Operations!$D17,ImpDepLookup,2,FALSE)-VLOOKUP(Operations!$D17,ImpDepLookup,3,FALSE)*(Operations!$G17+1)^0.5-VLOOKUP(Operations!$D17,ImpDepLookup,4,FALSE)*(Operations!$G17*Operations!$H17/Operations!$I17)^0.5)^2)</f>
        <v>17012.154231681503</v>
      </c>
      <c r="R17" s="110">
        <f>IF(Operations!$N17=0,0,IF(Operations!$I17*Operations!$H17=0,0,(Operations!$P17-Operations!$Q17)/(Operations!$H17)))</f>
        <v>1.6860118036052771</v>
      </c>
      <c r="S17" s="112">
        <f>IF(Operations!$H17=0,0,Operations!$P17*'General Variables'!$B$9/Operations!$H17)</f>
        <v>0.37396332070573562</v>
      </c>
      <c r="T17" s="112">
        <f>IF(Operations!$H17=0,0,Operations!$P17*'General Variables'!$B$10/Operations!$H17)</f>
        <v>0.74792664141147125</v>
      </c>
      <c r="U17" s="112">
        <f>SUM(Table3[[#This Row],[Depreciation per Unit]:[Opportunity Cost per Unit]])</f>
        <v>2.8079017657224838</v>
      </c>
      <c r="W17" s="1" t="s">
        <v>150</v>
      </c>
      <c r="X17" s="1" t="s">
        <v>108</v>
      </c>
      <c r="Y17" s="2" t="s">
        <v>151</v>
      </c>
      <c r="Z17" s="2" t="s">
        <v>118</v>
      </c>
      <c r="AA17" s="4">
        <v>2500</v>
      </c>
      <c r="AK17" s="216"/>
      <c r="AL17" s="216"/>
      <c r="AM17" s="216"/>
    </row>
    <row r="18" spans="1:39" ht="12.75" customHeight="1" x14ac:dyDescent="0.25">
      <c r="A18" s="124" t="s">
        <v>498</v>
      </c>
      <c r="B18" s="103" t="s">
        <v>64</v>
      </c>
      <c r="C18" s="104" t="s">
        <v>307</v>
      </c>
      <c r="D18" s="104" t="s">
        <v>261</v>
      </c>
      <c r="E18" s="117">
        <v>52488</v>
      </c>
      <c r="F18" s="106"/>
      <c r="G18" s="105">
        <v>5</v>
      </c>
      <c r="H18" s="105">
        <v>1000</v>
      </c>
      <c r="I18" s="113">
        <v>7</v>
      </c>
      <c r="J18" s="108">
        <v>1.1000000000000001</v>
      </c>
      <c r="K18" s="104" t="s">
        <v>256</v>
      </c>
      <c r="L18" s="106">
        <v>10.5</v>
      </c>
      <c r="M18" s="108"/>
      <c r="N18" s="109">
        <f>IF(Operations!$E18&gt;1,Operations!$E18,IF(Operations!$D18=0,0,Operations!$F18/(VLOOKUP(Operations!$D18,ImpDepLookup,2,FALSE)-VLOOKUP(Operations!$D18,ImpDepLookup,3,FALSE)*Operations!$G18^0.5-VLOOKUP(Operations!$D18,ImpDepLookup,4,FALSE)*(Operations!$G18*(Operations!$G18*Operations!$H18/Operations!$I18)^0.5))^2))</f>
        <v>52488</v>
      </c>
      <c r="O18" s="110">
        <f>IF(Operations!$C18="",0,(((Operations!$G18+1)*Operations!$H18/Operations!$I18/1000)^VLOOKUP(Operations!$C18,ImpRepairFac[],4,FALSE)-(Operations!$G18*Operations!$H18/Operations!$I18/1000)^VLOOKUP(Operations!$C18,ImpRepairFac[],4,FALSE))*Operations!$N18*VLOOKUP(Operations!$C18,ImpRepairFac[],3,FALSE)/Operations!$H18)</f>
        <v>1.5133816440281234</v>
      </c>
      <c r="P18" s="111">
        <f>IF(Operations!$N18=0,0,Operations!$N18*(VLOOKUP(Operations!$D18,ImpDepLookup,2,FALSE)-VLOOKUP(Operations!$D18,ImpDepLookup,3,FALSE)*Operations!$G18^0.5-VLOOKUP(Operations!$D18,ImpDepLookup,4,FALSE)*(Operations!$G18*Operations!$H18/Operations!$I18)^0.5)^2)</f>
        <v>30560.794010715967</v>
      </c>
      <c r="Q18" s="111">
        <f>IF(Operations!$N18=0,0,Operations!$N18*(VLOOKUP(Operations!$D18,ImpDepLookup,2,FALSE)-VLOOKUP(Operations!$D18,ImpDepLookup,3,FALSE)*(Operations!$G18+1)^0.5-VLOOKUP(Operations!$D18,ImpDepLookup,4,FALSE)*(Operations!$G18*Operations!$H18/Operations!$I18)^0.5)^2)</f>
        <v>27805.130202170352</v>
      </c>
      <c r="R18" s="110">
        <f>IF(Operations!$N18=0,0,IF(Operations!$I18*Operations!$H18=0,0,(Operations!$P18-Operations!$Q18)/(Operations!$H18)))</f>
        <v>2.7556638085456142</v>
      </c>
      <c r="S18" s="112">
        <f>IF(Operations!$H18=0,0,Operations!$P18*'General Variables'!$B$9/Operations!$H18)</f>
        <v>0.61121588021431927</v>
      </c>
      <c r="T18" s="112">
        <f>IF(Operations!$H18=0,0,Operations!$P18*'General Variables'!$B$10/Operations!$H18)</f>
        <v>1.2224317604286385</v>
      </c>
      <c r="U18" s="112">
        <f>SUM(Table3[[#This Row],[Depreciation per Unit]:[Opportunity Cost per Unit]])</f>
        <v>4.589311449188572</v>
      </c>
      <c r="W18" s="1" t="s">
        <v>154</v>
      </c>
      <c r="X18" s="1" t="s">
        <v>123</v>
      </c>
      <c r="Y18" s="2" t="s">
        <v>135</v>
      </c>
      <c r="Z18" s="2" t="s">
        <v>121</v>
      </c>
      <c r="AA18" s="4">
        <v>2000</v>
      </c>
      <c r="AK18" s="216"/>
      <c r="AL18" s="216"/>
      <c r="AM18" s="216"/>
    </row>
    <row r="19" spans="1:39" ht="12.75" customHeight="1" x14ac:dyDescent="0.25">
      <c r="A19" s="124" t="s">
        <v>397</v>
      </c>
      <c r="B19" s="103" t="s">
        <v>64</v>
      </c>
      <c r="C19" s="104" t="s">
        <v>308</v>
      </c>
      <c r="D19" s="104" t="s">
        <v>326</v>
      </c>
      <c r="E19" s="105">
        <v>30000</v>
      </c>
      <c r="F19" s="106"/>
      <c r="G19" s="105">
        <v>5</v>
      </c>
      <c r="H19" s="105">
        <v>300</v>
      </c>
      <c r="I19" s="113">
        <v>7.0212765957446823</v>
      </c>
      <c r="J19" s="108">
        <v>1.1000000000000001</v>
      </c>
      <c r="K19" s="104" t="s">
        <v>416</v>
      </c>
      <c r="L19" s="106">
        <v>4.3882978723404262</v>
      </c>
      <c r="M19" s="108"/>
      <c r="N19" s="109">
        <f>IF(Operations!$E19&gt;1,Operations!$E19,IF(Operations!$D19=0,0,Operations!$F19/(VLOOKUP(Operations!$D19,ImpDepLookup,2,FALSE)-VLOOKUP(Operations!$D19,ImpDepLookup,3,FALSE)*Operations!$G19^0.5-VLOOKUP(Operations!$D19,ImpDepLookup,4,FALSE)*(Operations!$G19*(Operations!$G19*Operations!$H19/Operations!$I19)^0.5))^2))</f>
        <v>30000</v>
      </c>
      <c r="O19" s="110">
        <f>IF(Operations!$C19="",0,(((Operations!$G19+1)*Operations!$H19/Operations!$I19/1000)^VLOOKUP(Operations!$C19,ImpRepairFac[],4,FALSE)-(Operations!$G19*Operations!$H19/Operations!$I19/1000)^VLOOKUP(Operations!$C19,ImpRepairFac[],4,FALSE))*Operations!$N19*VLOOKUP(Operations!$C19,ImpRepairFac[],3,FALSE)/Operations!$H19)</f>
        <v>0.90464935457763429</v>
      </c>
      <c r="P19" s="111">
        <f>IF(Operations!$N19=0,0,Operations!$N19*(VLOOKUP(Operations!$D19,ImpDepLookup,2,FALSE)-VLOOKUP(Operations!$D19,ImpDepLookup,3,FALSE)*Operations!$G19^0.5-VLOOKUP(Operations!$D19,ImpDepLookup,4,FALSE)*(Operations!$G19*Operations!$H19/Operations!$I19)^0.5)^2)</f>
        <v>12482.008651514734</v>
      </c>
      <c r="Q19" s="111">
        <f>IF(Operations!$N19=0,0,Operations!$N19*(VLOOKUP(Operations!$D19,ImpDepLookup,2,FALSE)-VLOOKUP(Operations!$D19,ImpDepLookup,3,FALSE)*(Operations!$G19+1)^0.5-VLOOKUP(Operations!$D19,ImpDepLookup,4,FALSE)*(Operations!$G19*Operations!$H19/Operations!$I19)^0.5)^2)</f>
        <v>11589.960618589243</v>
      </c>
      <c r="R19" s="110">
        <f>IF(Operations!$N19=0,0,IF(Operations!$I19*Operations!$H19=0,0,(Operations!$P19-Operations!$Q19)/(Operations!$H19)))</f>
        <v>2.9734934430849718</v>
      </c>
      <c r="S19" s="112">
        <f>IF(Operations!$H19=0,0,Operations!$P19*'General Variables'!$B$9/Operations!$H19)</f>
        <v>0.83213391010098225</v>
      </c>
      <c r="T19" s="112">
        <f>IF(Operations!$H19=0,0,Operations!$P19*'General Variables'!$B$10/Operations!$H19)</f>
        <v>1.6642678202019645</v>
      </c>
      <c r="U19" s="112">
        <f>SUM(Table3[[#This Row],[Depreciation per Unit]:[Opportunity Cost per Unit]])</f>
        <v>5.4698951733879184</v>
      </c>
      <c r="W19" s="1" t="s">
        <v>155</v>
      </c>
      <c r="X19" s="1" t="s">
        <v>108</v>
      </c>
      <c r="Y19" s="2" t="s">
        <v>156</v>
      </c>
      <c r="Z19" s="2" t="s">
        <v>141</v>
      </c>
      <c r="AA19" s="4">
        <v>2000</v>
      </c>
      <c r="AK19" s="216"/>
      <c r="AL19" s="216"/>
      <c r="AM19" s="216"/>
    </row>
    <row r="20" spans="1:39" ht="12.75" customHeight="1" x14ac:dyDescent="0.25">
      <c r="A20" s="124" t="s">
        <v>568</v>
      </c>
      <c r="B20" s="103" t="s">
        <v>64</v>
      </c>
      <c r="C20" s="104" t="s">
        <v>309</v>
      </c>
      <c r="D20" s="104" t="s">
        <v>326</v>
      </c>
      <c r="E20" s="105">
        <v>44080</v>
      </c>
      <c r="F20" s="106"/>
      <c r="G20" s="105">
        <v>5</v>
      </c>
      <c r="H20" s="105">
        <v>2000</v>
      </c>
      <c r="I20" s="115">
        <v>10.90909090909091</v>
      </c>
      <c r="J20" s="108">
        <v>1.1000000000000001</v>
      </c>
      <c r="K20" s="104" t="s">
        <v>415</v>
      </c>
      <c r="L20" s="106">
        <v>8.290909090909091</v>
      </c>
      <c r="M20" s="108"/>
      <c r="N20" s="109">
        <f>IF(Operations!$E20&gt;1,Operations!$E20,IF(Operations!$D20=0,0,Operations!$F20/(VLOOKUP(Operations!$D20,ImpDepLookup,2,FALSE)-VLOOKUP(Operations!$D20,ImpDepLookup,3,FALSE)*Operations!$G20^0.5-VLOOKUP(Operations!$D20,ImpDepLookup,4,FALSE)*(Operations!$G20*(Operations!$G20*Operations!$H20/Operations!$I20)^0.5))^2))</f>
        <v>44080</v>
      </c>
      <c r="O20" s="110">
        <f>IF(Operations!$C20="",0,(((Operations!$G20+1)*Operations!$H20/Operations!$I20/1000)^VLOOKUP(Operations!$C20,ImpRepairFac[],4,FALSE)-(Operations!$G20*Operations!$H20/Operations!$I20/1000)^VLOOKUP(Operations!$C20,ImpRepairFac[],4,FALSE))*Operations!$N20*VLOOKUP(Operations!$C20,ImpRepairFac[],3,FALSE)/Operations!$H20)</f>
        <v>1.2432874281763564</v>
      </c>
      <c r="P20" s="111">
        <f>IF(Operations!$N20=0,0,Operations!$N20*(VLOOKUP(Operations!$D20,ImpDepLookup,2,FALSE)-VLOOKUP(Operations!$D20,ImpDepLookup,3,FALSE)*Operations!$G20^0.5-VLOOKUP(Operations!$D20,ImpDepLookup,4,FALSE)*(Operations!$G20*Operations!$H20/Operations!$I20)^0.5)^2)</f>
        <v>18340.231378625649</v>
      </c>
      <c r="Q20" s="111">
        <f>IF(Operations!$N20=0,0,Operations!$N20*(VLOOKUP(Operations!$D20,ImpDepLookup,2,FALSE)-VLOOKUP(Operations!$D20,ImpDepLookup,3,FALSE)*(Operations!$G20+1)^0.5-VLOOKUP(Operations!$D20,ImpDepLookup,4,FALSE)*(Operations!$G20*Operations!$H20/Operations!$I20)^0.5)^2)</f>
        <v>17029.515468913796</v>
      </c>
      <c r="R20" s="110">
        <f>IF(Operations!$N20=0,0,IF(Operations!$I20*Operations!$H20=0,0,(Operations!$P20-Operations!$Q20)/(Operations!$H20)))</f>
        <v>0.65535795485592641</v>
      </c>
      <c r="S20" s="112">
        <f>IF(Operations!$H20=0,0,Operations!$P20*'General Variables'!$B$9/Operations!$H20)</f>
        <v>0.18340231378625649</v>
      </c>
      <c r="T20" s="112">
        <f>IF(Operations!$H20=0,0,Operations!$P20*'General Variables'!$B$10/Operations!$H20)</f>
        <v>0.36680462757251298</v>
      </c>
      <c r="U20" s="112">
        <f>SUM(Table3[[#This Row],[Depreciation per Unit]:[Opportunity Cost per Unit]])</f>
        <v>1.2055648962146959</v>
      </c>
      <c r="W20" s="1" t="s">
        <v>157</v>
      </c>
      <c r="X20" s="1" t="s">
        <v>108</v>
      </c>
      <c r="Y20" s="2" t="s">
        <v>158</v>
      </c>
      <c r="Z20" s="2" t="s">
        <v>104</v>
      </c>
      <c r="AA20" s="4">
        <v>2000</v>
      </c>
      <c r="AK20" s="55"/>
      <c r="AL20" s="55"/>
      <c r="AM20" s="55"/>
    </row>
    <row r="21" spans="1:39" ht="12.75" customHeight="1" x14ac:dyDescent="0.25">
      <c r="A21" s="124" t="s">
        <v>275</v>
      </c>
      <c r="B21" s="103" t="s">
        <v>395</v>
      </c>
      <c r="C21" s="103"/>
      <c r="D21" s="103"/>
      <c r="E21" s="105"/>
      <c r="F21" s="106"/>
      <c r="G21" s="105">
        <v>5</v>
      </c>
      <c r="H21" s="105">
        <v>1000</v>
      </c>
      <c r="I21" s="113">
        <v>1.8</v>
      </c>
      <c r="J21" s="118">
        <v>0.1</v>
      </c>
      <c r="K21" s="104" t="s">
        <v>405</v>
      </c>
      <c r="L21" s="106">
        <v>0</v>
      </c>
      <c r="M21" s="108"/>
      <c r="N21" s="109">
        <f>IF(Operations!$E21&gt;1,Operations!$E21,IF(Operations!$D21=0,0,Operations!$F21/(VLOOKUP(Operations!$D21,ImpDepLookup,2,FALSE)-VLOOKUP(Operations!$D21,ImpDepLookup,3,FALSE)*Operations!$G21^0.5-VLOOKUP(Operations!$D21,ImpDepLookup,4,FALSE)*(Operations!$G21*(Operations!$G21*Operations!$H21/Operations!$I21)^0.5))^2))</f>
        <v>0</v>
      </c>
      <c r="O21" s="110">
        <f>IF(Operations!$C21="",0,(((Operations!$G21+1)*Operations!$H21/Operations!$I21/1000)^VLOOKUP(Operations!$C21,ImpRepairFac[],4,FALSE)-(Operations!$G21*Operations!$H21/Operations!$I21/1000)^VLOOKUP(Operations!$C21,ImpRepairFac[],4,FALSE))*Operations!$N21*VLOOKUP(Operations!$C21,ImpRepairFac[],3,FALSE)/Operations!$H21)</f>
        <v>0</v>
      </c>
      <c r="P21" s="111">
        <f>IF(Operations!$N21=0,0,Operations!$N21*(VLOOKUP(Operations!$D21,ImpDepLookup,2,FALSE)-VLOOKUP(Operations!$D21,ImpDepLookup,3,FALSE)*Operations!$G21^0.5-VLOOKUP(Operations!$D21,ImpDepLookup,4,FALSE)*(Operations!$G21*Operations!$H21/Operations!$I21)^0.5)^2)</f>
        <v>0</v>
      </c>
      <c r="Q21" s="111">
        <f>IF(Operations!$N21=0,0,Operations!$N21*(VLOOKUP(Operations!$D21,ImpDepLookup,2,FALSE)-VLOOKUP(Operations!$D21,ImpDepLookup,3,FALSE)*(Operations!$G21+1)^0.5-VLOOKUP(Operations!$D21,ImpDepLookup,4,FALSE)*(Operations!$G21*Operations!$H21/Operations!$I21)^0.5)^2)</f>
        <v>0</v>
      </c>
      <c r="R21" s="110">
        <f>IF(Operations!$N21=0,0,IF(Operations!$I21*Operations!$H21=0,0,(Operations!$P21-Operations!$Q21)/(Operations!$H21)))</f>
        <v>0</v>
      </c>
      <c r="S21" s="112">
        <f>IF(Operations!$H21=0,0,Operations!$P21*'General Variables'!$B$9/Operations!$H21)</f>
        <v>0</v>
      </c>
      <c r="T21" s="112">
        <f>IF(Operations!$H21=0,0,Operations!$P21*'General Variables'!$B$10/Operations!$H21)</f>
        <v>0</v>
      </c>
      <c r="U21" s="112">
        <f>SUM(Table3[[#This Row],[Depreciation per Unit]:[Opportunity Cost per Unit]])</f>
        <v>0</v>
      </c>
      <c r="W21" s="1" t="s">
        <v>159</v>
      </c>
      <c r="X21" s="1" t="s">
        <v>108</v>
      </c>
      <c r="Y21" s="2" t="s">
        <v>140</v>
      </c>
      <c r="Z21" s="2" t="s">
        <v>118</v>
      </c>
      <c r="AA21" s="3">
        <v>2500</v>
      </c>
    </row>
    <row r="22" spans="1:39" ht="12.75" customHeight="1" x14ac:dyDescent="0.25">
      <c r="A22" s="124" t="s">
        <v>276</v>
      </c>
      <c r="B22" s="103" t="s">
        <v>64</v>
      </c>
      <c r="C22" s="104" t="s">
        <v>310</v>
      </c>
      <c r="D22" s="104" t="s">
        <v>301</v>
      </c>
      <c r="E22" s="114">
        <v>7403</v>
      </c>
      <c r="F22" s="106"/>
      <c r="G22" s="105">
        <v>20</v>
      </c>
      <c r="H22" s="105">
        <v>300</v>
      </c>
      <c r="I22" s="113">
        <v>20</v>
      </c>
      <c r="J22" s="108">
        <v>1.1000000000000001</v>
      </c>
      <c r="K22" s="104" t="s">
        <v>416</v>
      </c>
      <c r="L22" s="106">
        <v>2.1070422535211271</v>
      </c>
      <c r="M22" s="108"/>
      <c r="N22" s="109">
        <f>IF(Operations!$E22&gt;1,Operations!$E22,IF(Operations!$D22=0,0,Operations!$F22/(VLOOKUP(Operations!$D22,ImpDepLookup,2,FALSE)-VLOOKUP(Operations!$D22,ImpDepLookup,3,FALSE)*Operations!$G22^0.5-VLOOKUP(Operations!$D22,ImpDepLookup,4,FALSE)*(Operations!$G22*(Operations!$G22*Operations!$H22/Operations!$I22)^0.5))^2))</f>
        <v>7403</v>
      </c>
      <c r="O22" s="110">
        <f>IF(Operations!$C22="",0,(((Operations!$G22+1)*Operations!$H22/Operations!$I22/1000)^VLOOKUP(Operations!$C22,ImpRepairFac[],4,FALSE)-(Operations!$G22*Operations!$H22/Operations!$I22/1000)^VLOOKUP(Operations!$C22,ImpRepairFac[],4,FALSE))*Operations!$N22*VLOOKUP(Operations!$C22,ImpRepairFac[],3,FALSE)/Operations!$H22)</f>
        <v>5.4964517918680046E-2</v>
      </c>
      <c r="P22" s="111">
        <f>IF(Operations!$N22=0,0,Operations!$N22*(VLOOKUP(Operations!$D22,ImpDepLookup,2,FALSE)-VLOOKUP(Operations!$D22,ImpDepLookup,3,FALSE)*Operations!$G22^0.5-VLOOKUP(Operations!$D22,ImpDepLookup,4,FALSE)*(Operations!$G22*Operations!$H22/Operations!$I22)^0.5)^2)</f>
        <v>1091.8193410739334</v>
      </c>
      <c r="Q22" s="111">
        <f>IF(Operations!$N22=0,0,Operations!$N22*(VLOOKUP(Operations!$D22,ImpDepLookup,2,FALSE)-VLOOKUP(Operations!$D22,ImpDepLookup,3,FALSE)*(Operations!$G22+1)^0.5-VLOOKUP(Operations!$D22,ImpDepLookup,4,FALSE)*(Operations!$G22*Operations!$H22/Operations!$I22)^0.5)^2)</f>
        <v>1035.4223554538871</v>
      </c>
      <c r="R22" s="110">
        <f>IF(Operations!$N22=0,0,IF(Operations!$I22*Operations!$H22=0,0,(Operations!$P22-Operations!$Q22)/(Operations!$H22)))</f>
        <v>0.18798995206682093</v>
      </c>
      <c r="S22" s="112">
        <f>IF(Operations!$H22=0,0,Operations!$P22*'General Variables'!$B$9/Operations!$H22)</f>
        <v>7.2787956071595564E-2</v>
      </c>
      <c r="T22" s="112">
        <f>IF(Operations!$H22=0,0,Operations!$P22*'General Variables'!$B$10/Operations!$H22)</f>
        <v>0.14557591214319113</v>
      </c>
      <c r="U22" s="112">
        <f>SUM(Table3[[#This Row],[Depreciation per Unit]:[Opportunity Cost per Unit]])</f>
        <v>0.4063538202816076</v>
      </c>
      <c r="W22" s="1" t="s">
        <v>160</v>
      </c>
      <c r="X22" s="1" t="s">
        <v>108</v>
      </c>
      <c r="Y22" s="2" t="s">
        <v>161</v>
      </c>
      <c r="Z22" s="2" t="s">
        <v>104</v>
      </c>
      <c r="AA22" s="4">
        <v>2500</v>
      </c>
    </row>
    <row r="23" spans="1:39" ht="12.75" customHeight="1" x14ac:dyDescent="0.25">
      <c r="A23" s="124" t="s">
        <v>277</v>
      </c>
      <c r="B23" s="103" t="s">
        <v>64</v>
      </c>
      <c r="C23" s="104" t="s">
        <v>311</v>
      </c>
      <c r="D23" s="104" t="s">
        <v>328</v>
      </c>
      <c r="E23" s="105">
        <v>66251</v>
      </c>
      <c r="F23" s="106"/>
      <c r="G23" s="105">
        <v>10</v>
      </c>
      <c r="H23" s="105">
        <v>1000</v>
      </c>
      <c r="I23" s="115">
        <v>12.5</v>
      </c>
      <c r="J23" s="108">
        <v>1.1000000000000001</v>
      </c>
      <c r="K23" s="104" t="s">
        <v>416</v>
      </c>
      <c r="L23" s="106">
        <v>4.9866666666666672</v>
      </c>
      <c r="M23" s="108"/>
      <c r="N23" s="109">
        <f>IF(Operations!$E23&gt;1,Operations!$E23,IF(Operations!$D23=0,0,Operations!$F23/(VLOOKUP(Operations!$D23,ImpDepLookup,2,FALSE)-VLOOKUP(Operations!$D23,ImpDepLookup,3,FALSE)*Operations!$G23^0.5-VLOOKUP(Operations!$D23,ImpDepLookup,4,FALSE)*(Operations!$G23*(Operations!$G23*Operations!$H23/Operations!$I23)^0.5))^2))</f>
        <v>66251</v>
      </c>
      <c r="O23" s="110">
        <f>IF(Operations!$C23="",0,(((Operations!$G23+1)*Operations!$H23/Operations!$I23/1000)^VLOOKUP(Operations!$C23,ImpRepairFac[],4,FALSE)-(Operations!$G23*Operations!$H23/Operations!$I23/1000)^VLOOKUP(Operations!$C23,ImpRepairFac[],4,FALSE))*Operations!$N23*VLOOKUP(Operations!$C23,ImpRepairFac[],3,FALSE)/Operations!$H23)</f>
        <v>2.9402006574365633</v>
      </c>
      <c r="P23" s="111">
        <f>IF(Operations!$N23=0,0,Operations!$N23*(VLOOKUP(Operations!$D23,ImpDepLookup,2,FALSE)-VLOOKUP(Operations!$D23,ImpDepLookup,3,FALSE)*Operations!$G23^0.5-VLOOKUP(Operations!$D23,ImpDepLookup,4,FALSE)*(Operations!$G23*Operations!$H23/Operations!$I23)^0.5)^2)</f>
        <v>26827.121899023969</v>
      </c>
      <c r="Q23" s="111">
        <f>IF(Operations!$N23=0,0,Operations!$N23*(VLOOKUP(Operations!$D23,ImpDepLookup,2,FALSE)-VLOOKUP(Operations!$D23,ImpDepLookup,3,FALSE)*(Operations!$G23+1)^0.5-VLOOKUP(Operations!$D23,ImpDepLookup,4,FALSE)*(Operations!$G23*Operations!$H23/Operations!$I23)^0.5)^2)</f>
        <v>25821.629909619121</v>
      </c>
      <c r="R23" s="110">
        <f>IF(Operations!$N23=0,0,IF(Operations!$I23*Operations!$H23=0,0,(Operations!$P23-Operations!$Q23)/(Operations!$H23)))</f>
        <v>1.0054919894048471</v>
      </c>
      <c r="S23" s="112">
        <f>IF(Operations!$H23=0,0,Operations!$P23*'General Variables'!$B$9/Operations!$H23)</f>
        <v>0.5365424379804794</v>
      </c>
      <c r="T23" s="112">
        <f>IF(Operations!$H23=0,0,Operations!$P23*'General Variables'!$B$10/Operations!$H23)</f>
        <v>1.0730848759609588</v>
      </c>
      <c r="U23" s="112">
        <f>SUM(Table3[[#This Row],[Depreciation per Unit]:[Opportunity Cost per Unit]])</f>
        <v>2.615119303346285</v>
      </c>
      <c r="W23" s="1" t="s">
        <v>162</v>
      </c>
      <c r="X23" s="1" t="s">
        <v>123</v>
      </c>
      <c r="Y23" s="2" t="s">
        <v>161</v>
      </c>
      <c r="Z23" s="2" t="s">
        <v>147</v>
      </c>
      <c r="AA23" s="4">
        <v>2000</v>
      </c>
    </row>
    <row r="24" spans="1:39" ht="12.75" customHeight="1" x14ac:dyDescent="0.25">
      <c r="A24" s="124" t="s">
        <v>569</v>
      </c>
      <c r="B24" s="103" t="s">
        <v>64</v>
      </c>
      <c r="C24" s="104" t="s">
        <v>311</v>
      </c>
      <c r="D24" s="104" t="s">
        <v>328</v>
      </c>
      <c r="E24" s="105">
        <v>66251</v>
      </c>
      <c r="F24" s="106"/>
      <c r="G24" s="105">
        <v>10</v>
      </c>
      <c r="H24" s="105">
        <v>1000</v>
      </c>
      <c r="I24" s="107">
        <v>11</v>
      </c>
      <c r="J24" s="108">
        <v>1.2</v>
      </c>
      <c r="K24" s="104" t="s">
        <v>416</v>
      </c>
      <c r="L24" s="106">
        <v>5</v>
      </c>
      <c r="M24" s="108"/>
      <c r="N24" s="109">
        <f>IF(Operations!$E24&gt;1,Operations!$E24,IF(Operations!$D24=0,0,Operations!$F24/(VLOOKUP(Operations!$D24,ImpDepLookup,2,FALSE)-VLOOKUP(Operations!$D24,ImpDepLookup,3,FALSE)*Operations!$G24^0.5-VLOOKUP(Operations!$D24,ImpDepLookup,4,FALSE)*(Operations!$G24*(Operations!$G24*Operations!$H24/Operations!$I24)^0.5))^2))</f>
        <v>66251</v>
      </c>
      <c r="O24" s="110">
        <f>IF(Operations!$C24="",0,(((Operations!$G24+1)*Operations!$H24/Operations!$I24/1000)^VLOOKUP(Operations!$C24,ImpRepairFac[],4,FALSE)-(Operations!$G24*Operations!$H24/Operations!$I24/1000)^VLOOKUP(Operations!$C24,ImpRepairFac[],4,FALSE))*Operations!$N24*VLOOKUP(Operations!$C24,ImpRepairFac[],3,FALSE)/Operations!$H24)</f>
        <v>3.8455933564376088</v>
      </c>
      <c r="P24" s="111">
        <f>IF(Operations!$N24=0,0,Operations!$N24*(VLOOKUP(Operations!$D24,ImpDepLookup,2,FALSE)-VLOOKUP(Operations!$D24,ImpDepLookup,3,FALSE)*Operations!$G24^0.5-VLOOKUP(Operations!$D24,ImpDepLookup,4,FALSE)*(Operations!$G24*Operations!$H24/Operations!$I24)^0.5)^2)</f>
        <v>26827.121899023969</v>
      </c>
      <c r="Q24" s="111">
        <f>IF(Operations!$N24=0,0,Operations!$N24*(VLOOKUP(Operations!$D24,ImpDepLookup,2,FALSE)-VLOOKUP(Operations!$D24,ImpDepLookup,3,FALSE)*(Operations!$G24+1)^0.5-VLOOKUP(Operations!$D24,ImpDepLookup,4,FALSE)*(Operations!$G24*Operations!$H24/Operations!$I24)^0.5)^2)</f>
        <v>25821.629909619121</v>
      </c>
      <c r="R24" s="110">
        <f>IF(Operations!$N24=0,0,IF(Operations!$I24*Operations!$H24=0,0,(Operations!$P24-Operations!$Q24)/(Operations!$H24)))</f>
        <v>1.0054919894048471</v>
      </c>
      <c r="S24" s="112">
        <f>IF(Operations!$H24=0,0,Operations!$P24*'General Variables'!$B$9/Operations!$H24)</f>
        <v>0.5365424379804794</v>
      </c>
      <c r="T24" s="112">
        <f>IF(Operations!$H24=0,0,Operations!$P24*'General Variables'!$B$10/Operations!$H24)</f>
        <v>1.0730848759609588</v>
      </c>
      <c r="U24" s="112">
        <f>SUM(Table3[[#This Row],[Depreciation per Unit]:[Opportunity Cost per Unit]])</f>
        <v>2.615119303346285</v>
      </c>
      <c r="W24" s="1" t="s">
        <v>163</v>
      </c>
      <c r="X24" s="1" t="s">
        <v>123</v>
      </c>
      <c r="Y24" s="2" t="s">
        <v>144</v>
      </c>
      <c r="Z24" s="2" t="s">
        <v>129</v>
      </c>
      <c r="AA24" s="4">
        <v>1500</v>
      </c>
    </row>
    <row r="25" spans="1:39" ht="12.75" customHeight="1" x14ac:dyDescent="0.25">
      <c r="A25" s="124" t="s">
        <v>278</v>
      </c>
      <c r="B25" s="103" t="s">
        <v>388</v>
      </c>
      <c r="C25" s="103"/>
      <c r="D25" s="103"/>
      <c r="E25" s="105"/>
      <c r="F25" s="106"/>
      <c r="G25" s="105"/>
      <c r="H25" s="105"/>
      <c r="I25" s="113" t="s">
        <v>354</v>
      </c>
      <c r="J25" s="108"/>
      <c r="K25" s="104"/>
      <c r="L25" s="106" t="s">
        <v>354</v>
      </c>
      <c r="M25" s="108"/>
      <c r="N25" s="109">
        <f>IF(Operations!$E25&gt;1,Operations!$E25,IF(Operations!$D25=0,0,Operations!$F25/(VLOOKUP(Operations!$D25,ImpDepLookup,2,FALSE)-VLOOKUP(Operations!$D25,ImpDepLookup,3,FALSE)*Operations!$G25^0.5-VLOOKUP(Operations!$D25,ImpDepLookup,4,FALSE)*(Operations!$G25*(Operations!$G25*Operations!$H25/Operations!$I25)^0.5))^2))</f>
        <v>0</v>
      </c>
      <c r="O25" s="110">
        <f>IF(Operations!$C25="",0,(((Operations!$G25+1)*Operations!$H25/Operations!$I25/1000)^VLOOKUP(Operations!$C25,ImpRepairFac[],4,FALSE)-(Operations!$G25*Operations!$H25/Operations!$I25/1000)^VLOOKUP(Operations!$C25,ImpRepairFac[],4,FALSE))*Operations!$N25*VLOOKUP(Operations!$C25,ImpRepairFac[],3,FALSE)/Operations!$H25)</f>
        <v>0</v>
      </c>
      <c r="P25" s="111">
        <f>IF(Operations!$N25=0,0,Operations!$N25*(VLOOKUP(Operations!$D25,ImpDepLookup,2,FALSE)-VLOOKUP(Operations!$D25,ImpDepLookup,3,FALSE)*Operations!$G25^0.5-VLOOKUP(Operations!$D25,ImpDepLookup,4,FALSE)*(Operations!$G25*Operations!$H25/Operations!$I25)^0.5)^2)</f>
        <v>0</v>
      </c>
      <c r="Q25" s="111">
        <f>IF(Operations!$N25=0,0,Operations!$N25*(VLOOKUP(Operations!$D25,ImpDepLookup,2,FALSE)-VLOOKUP(Operations!$D25,ImpDepLookup,3,FALSE)*(Operations!$G25+1)^0.5-VLOOKUP(Operations!$D25,ImpDepLookup,4,FALSE)*(Operations!$G25*Operations!$H25/Operations!$I25)^0.5)^2)</f>
        <v>0</v>
      </c>
      <c r="R25" s="110">
        <f>IF(Operations!$N25=0,0,IF(Operations!$I25*Operations!$H25=0,0,(Operations!$P25-Operations!$Q25)/(Operations!$H25)))</f>
        <v>0</v>
      </c>
      <c r="S25" s="112">
        <f>IF(Operations!$H25=0,0,Operations!$P25*'General Variables'!$B$9/Operations!$H25)</f>
        <v>0</v>
      </c>
      <c r="T25" s="112">
        <f>IF(Operations!$H25=0,0,Operations!$P25*'General Variables'!$B$10/Operations!$H25)</f>
        <v>0</v>
      </c>
      <c r="U25" s="112">
        <f>SUM(Table3[[#This Row],[Depreciation per Unit]:[Opportunity Cost per Unit]])</f>
        <v>0</v>
      </c>
      <c r="W25" s="1" t="s">
        <v>164</v>
      </c>
      <c r="X25" s="1" t="s">
        <v>123</v>
      </c>
      <c r="Y25" s="2" t="s">
        <v>165</v>
      </c>
      <c r="Z25" s="2" t="s">
        <v>110</v>
      </c>
      <c r="AA25" s="3">
        <v>2000</v>
      </c>
    </row>
    <row r="26" spans="1:39" ht="12.75" customHeight="1" x14ac:dyDescent="0.25">
      <c r="A26" s="124" t="s">
        <v>279</v>
      </c>
      <c r="B26" s="103" t="s">
        <v>64</v>
      </c>
      <c r="C26" s="104" t="s">
        <v>312</v>
      </c>
      <c r="D26" s="104" t="s">
        <v>326</v>
      </c>
      <c r="E26" s="105">
        <v>57470</v>
      </c>
      <c r="F26" s="106"/>
      <c r="G26" s="105">
        <v>5</v>
      </c>
      <c r="H26" s="105">
        <v>2000</v>
      </c>
      <c r="I26" s="113">
        <v>12.5</v>
      </c>
      <c r="J26" s="108">
        <v>1.1000000000000001</v>
      </c>
      <c r="K26" s="104" t="s">
        <v>415</v>
      </c>
      <c r="L26" s="106">
        <v>8.6225806451612925</v>
      </c>
      <c r="M26" s="108"/>
      <c r="N26" s="109">
        <f>IF(Operations!$E26&gt;1,Operations!$E26,IF(Operations!$D26=0,0,Operations!$F26/(VLOOKUP(Operations!$D26,ImpDepLookup,2,FALSE)-VLOOKUP(Operations!$D26,ImpDepLookup,3,FALSE)*Operations!$G26^0.5-VLOOKUP(Operations!$D26,ImpDepLookup,4,FALSE)*(Operations!$G26*(Operations!$G26*Operations!$H26/Operations!$I26)^0.5))^2))</f>
        <v>57470</v>
      </c>
      <c r="O26" s="110">
        <f>IF(Operations!$C26="",0,(((Operations!$G26+1)*Operations!$H26/Operations!$I26/1000)^VLOOKUP(Operations!$C26,ImpRepairFac[],4,FALSE)-(Operations!$G26*Operations!$H26/Operations!$I26/1000)^VLOOKUP(Operations!$C26,ImpRepairFac[],4,FALSE))*Operations!$N26*VLOOKUP(Operations!$C26,ImpRepairFac[],3,FALSE)/Operations!$H26)</f>
        <v>0.92005426108413157</v>
      </c>
      <c r="P26" s="111">
        <f>IF(Operations!$N26=0,0,Operations!$N26*(VLOOKUP(Operations!$D26,ImpDepLookup,2,FALSE)-VLOOKUP(Operations!$D26,ImpDepLookup,3,FALSE)*Operations!$G26^0.5-VLOOKUP(Operations!$D26,ImpDepLookup,4,FALSE)*(Operations!$G26*Operations!$H26/Operations!$I26)^0.5)^2)</f>
        <v>23911.367906751726</v>
      </c>
      <c r="Q26" s="111">
        <f>IF(Operations!$N26=0,0,Operations!$N26*(VLOOKUP(Operations!$D26,ImpDepLookup,2,FALSE)-VLOOKUP(Operations!$D26,ImpDepLookup,3,FALSE)*(Operations!$G26+1)^0.5-VLOOKUP(Operations!$D26,ImpDepLookup,4,FALSE)*(Operations!$G26*Operations!$H26/Operations!$I26)^0.5)^2)</f>
        <v>22202.501225010794</v>
      </c>
      <c r="R26" s="110">
        <f>IF(Operations!$N26=0,0,IF(Operations!$I26*Operations!$H26=0,0,(Operations!$P26-Operations!$Q26)/(Operations!$H26)))</f>
        <v>0.85443334087046607</v>
      </c>
      <c r="S26" s="112">
        <f>IF(Operations!$H26=0,0,Operations!$P26*'General Variables'!$B$9/Operations!$H26)</f>
        <v>0.23911367906751727</v>
      </c>
      <c r="T26" s="112">
        <f>IF(Operations!$H26=0,0,Operations!$P26*'General Variables'!$B$10/Operations!$H26)</f>
        <v>0.47822735813503453</v>
      </c>
      <c r="U26" s="112">
        <f>SUM(Table3[[#This Row],[Depreciation per Unit]:[Opportunity Cost per Unit]])</f>
        <v>1.5717743780730178</v>
      </c>
      <c r="W26" s="1" t="s">
        <v>166</v>
      </c>
      <c r="X26" s="1" t="s">
        <v>108</v>
      </c>
      <c r="Y26" s="2" t="s">
        <v>167</v>
      </c>
      <c r="Z26" s="2" t="s">
        <v>121</v>
      </c>
      <c r="AA26" s="4">
        <v>2500</v>
      </c>
    </row>
    <row r="27" spans="1:39" ht="12.75" customHeight="1" x14ac:dyDescent="0.25">
      <c r="A27" s="124" t="s">
        <v>280</v>
      </c>
      <c r="B27" s="103" t="s">
        <v>64</v>
      </c>
      <c r="C27" s="104" t="s">
        <v>308</v>
      </c>
      <c r="D27" s="104" t="s">
        <v>326</v>
      </c>
      <c r="E27" s="105">
        <v>57470</v>
      </c>
      <c r="F27" s="106"/>
      <c r="G27" s="105">
        <v>5</v>
      </c>
      <c r="H27" s="105">
        <v>2000</v>
      </c>
      <c r="I27" s="113">
        <v>15</v>
      </c>
      <c r="J27" s="108">
        <v>1.1000000000000001</v>
      </c>
      <c r="K27" s="104" t="s">
        <v>416</v>
      </c>
      <c r="L27" s="106">
        <v>8.1967741935483875</v>
      </c>
      <c r="M27" s="108"/>
      <c r="N27" s="109">
        <f>IF(Operations!$E27&gt;1,Operations!$E27,IF(Operations!$D27=0,0,Operations!$F27/(VLOOKUP(Operations!$D27,ImpDepLookup,2,FALSE)-VLOOKUP(Operations!$D27,ImpDepLookup,3,FALSE)*Operations!$G27^0.5-VLOOKUP(Operations!$D27,ImpDepLookup,4,FALSE)*(Operations!$G27*(Operations!$G27*Operations!$H27/Operations!$I27)^0.5))^2))</f>
        <v>57470</v>
      </c>
      <c r="O27" s="110">
        <f>IF(Operations!$C27="",0,(((Operations!$G27+1)*Operations!$H27/Operations!$I27/1000)^VLOOKUP(Operations!$C27,ImpRepairFac[],4,FALSE)-(Operations!$G27*Operations!$H27/Operations!$I27/1000)^VLOOKUP(Operations!$C27,ImpRepairFac[],4,FALSE))*Operations!$N27*VLOOKUP(Operations!$C27,ImpRepairFac[],3,FALSE)/Operations!$H27)</f>
        <v>1.2788466451430531</v>
      </c>
      <c r="P27" s="111">
        <f>IF(Operations!$N27=0,0,Operations!$N27*(VLOOKUP(Operations!$D27,ImpDepLookup,2,FALSE)-VLOOKUP(Operations!$D27,ImpDepLookup,3,FALSE)*Operations!$G27^0.5-VLOOKUP(Operations!$D27,ImpDepLookup,4,FALSE)*(Operations!$G27*Operations!$H27/Operations!$I27)^0.5)^2)</f>
        <v>23911.367906751726</v>
      </c>
      <c r="Q27" s="111">
        <f>IF(Operations!$N27=0,0,Operations!$N27*(VLOOKUP(Operations!$D27,ImpDepLookup,2,FALSE)-VLOOKUP(Operations!$D27,ImpDepLookup,3,FALSE)*(Operations!$G27+1)^0.5-VLOOKUP(Operations!$D27,ImpDepLookup,4,FALSE)*(Operations!$G27*Operations!$H27/Operations!$I27)^0.5)^2)</f>
        <v>22202.501225010794</v>
      </c>
      <c r="R27" s="110">
        <f>IF(Operations!$N27=0,0,IF(Operations!$I27*Operations!$H27=0,0,(Operations!$P27-Operations!$Q27)/(Operations!$H27)))</f>
        <v>0.85443334087046607</v>
      </c>
      <c r="S27" s="112">
        <f>IF(Operations!$H27=0,0,Operations!$P27*'General Variables'!$B$9/Operations!$H27)</f>
        <v>0.23911367906751727</v>
      </c>
      <c r="T27" s="112">
        <f>IF(Operations!$H27=0,0,Operations!$P27*'General Variables'!$B$10/Operations!$H27)</f>
        <v>0.47822735813503453</v>
      </c>
      <c r="U27" s="112">
        <f>SUM(Table3[[#This Row],[Depreciation per Unit]:[Opportunity Cost per Unit]])</f>
        <v>1.5717743780730178</v>
      </c>
      <c r="W27" s="1" t="s">
        <v>168</v>
      </c>
      <c r="X27" s="1" t="s">
        <v>108</v>
      </c>
      <c r="Y27" s="2" t="s">
        <v>137</v>
      </c>
      <c r="Z27" s="2" t="s">
        <v>121</v>
      </c>
      <c r="AA27" s="4">
        <v>2500</v>
      </c>
    </row>
    <row r="28" spans="1:39" ht="12.75" customHeight="1" x14ac:dyDescent="0.25">
      <c r="A28" s="124" t="s">
        <v>30</v>
      </c>
      <c r="B28" s="103" t="s">
        <v>64</v>
      </c>
      <c r="C28" s="103" t="s">
        <v>311</v>
      </c>
      <c r="D28" s="103" t="s">
        <v>328</v>
      </c>
      <c r="E28" s="105">
        <v>73000</v>
      </c>
      <c r="F28" s="106"/>
      <c r="G28" s="105">
        <v>10</v>
      </c>
      <c r="H28" s="105">
        <v>1000</v>
      </c>
      <c r="I28" s="113">
        <v>9</v>
      </c>
      <c r="J28" s="108">
        <v>1.1000000000000001</v>
      </c>
      <c r="K28" s="104" t="s">
        <v>416</v>
      </c>
      <c r="L28" s="106">
        <v>4.2936802973977706</v>
      </c>
      <c r="M28" s="108"/>
      <c r="N28" s="109">
        <f>IF(Operations!$E28&gt;1,Operations!$E28,IF(Operations!$D28=0,0,Operations!$F28/(VLOOKUP(Operations!$D28,ImpDepLookup,2,FALSE)-VLOOKUP(Operations!$D28,ImpDepLookup,3,FALSE)*Operations!$G28^0.5-VLOOKUP(Operations!$D28,ImpDepLookup,4,FALSE)*(Operations!$G28*(Operations!$G28*Operations!$H28/Operations!$I28)^0.5))^2))</f>
        <v>73000</v>
      </c>
      <c r="O28" s="110">
        <f>IF(Operations!$C28="",0,(((Operations!$G28+1)*Operations!$H28/Operations!$I28/1000)^VLOOKUP(Operations!$C28,ImpRepairFac[],4,FALSE)-(Operations!$G28*Operations!$H28/Operations!$I28/1000)^VLOOKUP(Operations!$C28,ImpRepairFac[],4,FALSE))*Operations!$N28*VLOOKUP(Operations!$C28,ImpRepairFac[],3,FALSE)/Operations!$H28)</f>
        <v>6.4581651991214715</v>
      </c>
      <c r="P28" s="111">
        <f>IF(Operations!$N28=0,0,Operations!$N28*(VLOOKUP(Operations!$D28,ImpDepLookup,2,FALSE)-VLOOKUP(Operations!$D28,ImpDepLookup,3,FALSE)*Operations!$G28^0.5-VLOOKUP(Operations!$D28,ImpDepLookup,4,FALSE)*(Operations!$G28*Operations!$H28/Operations!$I28)^0.5)^2)</f>
        <v>29560.005111300201</v>
      </c>
      <c r="Q28" s="111">
        <f>IF(Operations!$N28=0,0,Operations!$N28*(VLOOKUP(Operations!$D28,ImpDepLookup,2,FALSE)-VLOOKUP(Operations!$D28,ImpDepLookup,3,FALSE)*(Operations!$G28+1)^0.5-VLOOKUP(Operations!$D28,ImpDepLookup,4,FALSE)*(Operations!$G28*Operations!$H28/Operations!$I28)^0.5)^2)</f>
        <v>28452.083491603084</v>
      </c>
      <c r="R28" s="110">
        <f>IF(Operations!$N28=0,0,IF(Operations!$I28*Operations!$H28=0,0,(Operations!$P28-Operations!$Q28)/(Operations!$H28)))</f>
        <v>1.1079216196971173</v>
      </c>
      <c r="S28" s="112">
        <f>IF(Operations!$H28=0,0,Operations!$P28*'General Variables'!$B$9/Operations!$H28)</f>
        <v>0.59120010222600394</v>
      </c>
      <c r="T28" s="112">
        <f>IF(Operations!$H28=0,0,Operations!$P28*'General Variables'!$B$10/Operations!$H28)</f>
        <v>1.1824002044520079</v>
      </c>
      <c r="U28" s="112">
        <f>SUM(Table3[[#This Row],[Depreciation per Unit]:[Opportunity Cost per Unit]])</f>
        <v>2.8815219263751288</v>
      </c>
      <c r="W28" s="1" t="s">
        <v>169</v>
      </c>
      <c r="X28" s="1" t="s">
        <v>123</v>
      </c>
      <c r="Y28" s="2" t="s">
        <v>161</v>
      </c>
      <c r="Z28" s="2" t="s">
        <v>147</v>
      </c>
      <c r="AA28" s="4">
        <v>2000</v>
      </c>
    </row>
    <row r="29" spans="1:39" ht="12.75" customHeight="1" x14ac:dyDescent="0.25">
      <c r="A29" s="124" t="s">
        <v>281</v>
      </c>
      <c r="B29" s="103" t="s">
        <v>64</v>
      </c>
      <c r="C29" s="104" t="s">
        <v>313</v>
      </c>
      <c r="D29" s="104" t="s">
        <v>326</v>
      </c>
      <c r="E29" s="105"/>
      <c r="F29" s="106"/>
      <c r="G29" s="105">
        <v>5</v>
      </c>
      <c r="H29" s="105">
        <v>1000</v>
      </c>
      <c r="I29" s="113">
        <v>18.591549295774648</v>
      </c>
      <c r="J29" s="108">
        <v>1.1000000000000001</v>
      </c>
      <c r="K29" s="104" t="s">
        <v>416</v>
      </c>
      <c r="L29" s="106">
        <v>2.0450704225352112</v>
      </c>
      <c r="M29" s="108"/>
      <c r="N29" s="109">
        <f>IF(Operations!$E29&gt;1,Operations!$E29,IF(Operations!$D29=0,0,Operations!$F29/(VLOOKUP(Operations!$D29,ImpDepLookup,2,FALSE)-VLOOKUP(Operations!$D29,ImpDepLookup,3,FALSE)*Operations!$G29^0.5-VLOOKUP(Operations!$D29,ImpDepLookup,4,FALSE)*(Operations!$G29*(Operations!$G29*Operations!$H29/Operations!$I29)^0.5))^2))</f>
        <v>0</v>
      </c>
      <c r="O29" s="110">
        <f>IF(Operations!$C29="",0,(((Operations!$G29+1)*Operations!$H29/Operations!$I29/1000)^VLOOKUP(Operations!$C29,ImpRepairFac[],4,FALSE)-(Operations!$G29*Operations!$H29/Operations!$I29/1000)^VLOOKUP(Operations!$C29,ImpRepairFac[],4,FALSE))*Operations!$N29*VLOOKUP(Operations!$C29,ImpRepairFac[],3,FALSE)/Operations!$H29)</f>
        <v>0</v>
      </c>
      <c r="P29" s="111">
        <f>IF(Operations!$N29=0,0,Operations!$N29*(VLOOKUP(Operations!$D29,ImpDepLookup,2,FALSE)-VLOOKUP(Operations!$D29,ImpDepLookup,3,FALSE)*Operations!$G29^0.5-VLOOKUP(Operations!$D29,ImpDepLookup,4,FALSE)*(Operations!$G29*Operations!$H29/Operations!$I29)^0.5)^2)</f>
        <v>0</v>
      </c>
      <c r="Q29" s="111">
        <f>IF(Operations!$N29=0,0,Operations!$N29*(VLOOKUP(Operations!$D29,ImpDepLookup,2,FALSE)-VLOOKUP(Operations!$D29,ImpDepLookup,3,FALSE)*(Operations!$G29+1)^0.5-VLOOKUP(Operations!$D29,ImpDepLookup,4,FALSE)*(Operations!$G29*Operations!$H29/Operations!$I29)^0.5)^2)</f>
        <v>0</v>
      </c>
      <c r="R29" s="110">
        <f>IF(Operations!$N29=0,0,IF(Operations!$I29*Operations!$H29=0,0,(Operations!$P29-Operations!$Q29)/(Operations!$H29)))</f>
        <v>0</v>
      </c>
      <c r="S29" s="112">
        <f>IF(Operations!$H29=0,0,Operations!$P29*'General Variables'!$B$9/Operations!$H29)</f>
        <v>0</v>
      </c>
      <c r="T29" s="112">
        <f>IF(Operations!$H29=0,0,Operations!$P29*'General Variables'!$B$10/Operations!$H29)</f>
        <v>0</v>
      </c>
      <c r="U29" s="112">
        <f>SUM(Table3[[#This Row],[Depreciation per Unit]:[Opportunity Cost per Unit]])</f>
        <v>0</v>
      </c>
      <c r="W29" s="1" t="s">
        <v>170</v>
      </c>
      <c r="X29" s="1" t="s">
        <v>123</v>
      </c>
      <c r="Y29" s="2" t="s">
        <v>114</v>
      </c>
      <c r="Z29" s="2" t="s">
        <v>121</v>
      </c>
      <c r="AA29" s="4">
        <v>2000</v>
      </c>
    </row>
    <row r="30" spans="1:39" ht="12.75" customHeight="1" x14ac:dyDescent="0.25">
      <c r="A30" s="124" t="s">
        <v>542</v>
      </c>
      <c r="B30" s="103" t="s">
        <v>57</v>
      </c>
      <c r="C30" s="104" t="s">
        <v>316</v>
      </c>
      <c r="D30" s="104" t="s">
        <v>329</v>
      </c>
      <c r="E30" s="105">
        <v>41983</v>
      </c>
      <c r="F30" s="106"/>
      <c r="G30" s="105">
        <v>5</v>
      </c>
      <c r="H30" s="105">
        <v>1000</v>
      </c>
      <c r="I30" s="113">
        <v>10</v>
      </c>
      <c r="J30" s="108">
        <v>1.1000000000000001</v>
      </c>
      <c r="K30" s="104" t="s">
        <v>416</v>
      </c>
      <c r="L30" s="106">
        <v>2.8761467889908259</v>
      </c>
      <c r="M30" s="108"/>
      <c r="N30" s="109">
        <f>IF(Operations!$E30&gt;1,Operations!$E30,IF(Operations!$D30=0,0,Operations!$F30/(VLOOKUP(Operations!$D30,ImpDepLookup,2,FALSE)-VLOOKUP(Operations!$D30,ImpDepLookup,3,FALSE)*Operations!$G30^0.5-VLOOKUP(Operations!$D30,ImpDepLookup,4,FALSE)*(Operations!$G30*(Operations!$G30*Operations!$H30/Operations!$I30)^0.5))^2))</f>
        <v>41983</v>
      </c>
      <c r="O30" s="110">
        <f>IF(Operations!$C30="",0,(((Operations!$G30+1)*Operations!$H30/Operations!$I30/1000)^VLOOKUP(Operations!$C30,ImpRepairFac[],4,FALSE)-(Operations!$G30*Operations!$H30/Operations!$I30/1000)^VLOOKUP(Operations!$C30,ImpRepairFac[],4,FALSE))*Operations!$N30*VLOOKUP(Operations!$C30,ImpRepairFac[],3,FALSE)/Operations!$H30)</f>
        <v>2.013764839106333</v>
      </c>
      <c r="P30" s="111">
        <f>IF(Operations!$N30=0,0,Operations!$N30*(VLOOKUP(Operations!$D30,ImpDepLookup,2,FALSE)-VLOOKUP(Operations!$D30,ImpDepLookup,3,FALSE)*Operations!$G30^0.5-VLOOKUP(Operations!$D30,ImpDepLookup,4,FALSE)*(Operations!$G30*Operations!$H30/Operations!$I30)^0.5)^2)</f>
        <v>16460.390548750191</v>
      </c>
      <c r="Q30" s="111">
        <f>IF(Operations!$N30=0,0,Operations!$N30*(VLOOKUP(Operations!$D30,ImpDepLookup,2,FALSE)-VLOOKUP(Operations!$D30,ImpDepLookup,3,FALSE)*(Operations!$G30+1)^0.5-VLOOKUP(Operations!$D30,ImpDepLookup,4,FALSE)*(Operations!$G30*Operations!$H30/Operations!$I30)^0.5)^2)</f>
        <v>15346.592495643607</v>
      </c>
      <c r="R30" s="110">
        <f>IF(Operations!$N30=0,0,IF(Operations!$I30*Operations!$H30=0,0,(Operations!$P30-Operations!$Q30)/(Operations!$H30)))</f>
        <v>1.1137980531065841</v>
      </c>
      <c r="S30" s="112">
        <f>IF(Operations!$H30=0,0,Operations!$P30*'General Variables'!$B$9/Operations!$H30)</f>
        <v>0.32920781097500385</v>
      </c>
      <c r="T30" s="112">
        <f>IF(Operations!$H30=0,0,Operations!$P30*'General Variables'!$B$10/Operations!$H30)</f>
        <v>0.65841562195000769</v>
      </c>
      <c r="U30" s="112">
        <f>SUM(Table3[[#This Row],[Depreciation per Unit]:[Opportunity Cost per Unit]])</f>
        <v>2.1014214860315956</v>
      </c>
      <c r="W30" s="1" t="s">
        <v>171</v>
      </c>
      <c r="X30" s="1" t="s">
        <v>123</v>
      </c>
      <c r="Y30" s="2" t="s">
        <v>172</v>
      </c>
      <c r="Z30" s="2" t="s">
        <v>104</v>
      </c>
      <c r="AA30" s="4">
        <v>1500</v>
      </c>
    </row>
    <row r="31" spans="1:39" ht="12.75" customHeight="1" x14ac:dyDescent="0.25">
      <c r="A31" s="124" t="s">
        <v>543</v>
      </c>
      <c r="B31" s="103" t="s">
        <v>57</v>
      </c>
      <c r="C31" s="104" t="s">
        <v>317</v>
      </c>
      <c r="D31" s="104" t="s">
        <v>329</v>
      </c>
      <c r="E31" s="105">
        <v>120658</v>
      </c>
      <c r="F31" s="106"/>
      <c r="G31" s="105">
        <v>5</v>
      </c>
      <c r="H31" s="105">
        <v>1000</v>
      </c>
      <c r="I31" s="113">
        <v>16</v>
      </c>
      <c r="J31" s="108">
        <v>1.1000000000000001</v>
      </c>
      <c r="K31" s="104" t="s">
        <v>416</v>
      </c>
      <c r="L31" s="106">
        <v>6.1859778597785988</v>
      </c>
      <c r="M31" s="108"/>
      <c r="N31" s="109">
        <f>IF(Operations!$E31&gt;1,Operations!$E31,IF(Operations!$D31=0,0,Operations!$F31/(VLOOKUP(Operations!$D31,ImpDepLookup,2,FALSE)-VLOOKUP(Operations!$D31,ImpDepLookup,3,FALSE)*Operations!$G31^0.5-VLOOKUP(Operations!$D31,ImpDepLookup,4,FALSE)*(Operations!$G31*(Operations!$G31*Operations!$H31/Operations!$I31)^0.5))^2))</f>
        <v>120658</v>
      </c>
      <c r="O31" s="110">
        <f>IF(Operations!$C31="",0,(((Operations!$G31+1)*Operations!$H31/Operations!$I31/1000)^VLOOKUP(Operations!$C31,ImpRepairFac[],4,FALSE)-(Operations!$G31*Operations!$H31/Operations!$I31/1000)^VLOOKUP(Operations!$C31,ImpRepairFac[],4,FALSE))*Operations!$N31*VLOOKUP(Operations!$C31,ImpRepairFac[],3,FALSE)/Operations!$H31)</f>
        <v>0.5775731326188569</v>
      </c>
      <c r="P31" s="111">
        <f>IF(Operations!$N31=0,0,Operations!$N31*(VLOOKUP(Operations!$D31,ImpDepLookup,2,FALSE)-VLOOKUP(Operations!$D31,ImpDepLookup,3,FALSE)*Operations!$G31^0.5-VLOOKUP(Operations!$D31,ImpDepLookup,4,FALSE)*(Operations!$G31*Operations!$H31/Operations!$I31)^0.5)^2)</f>
        <v>47306.714690019784</v>
      </c>
      <c r="Q31" s="111">
        <f>IF(Operations!$N31=0,0,Operations!$N31*(VLOOKUP(Operations!$D31,ImpDepLookup,2,FALSE)-VLOOKUP(Operations!$D31,ImpDepLookup,3,FALSE)*(Operations!$G31+1)^0.5-VLOOKUP(Operations!$D31,ImpDepLookup,4,FALSE)*(Operations!$G31*Operations!$H31/Operations!$I31)^0.5)^2)</f>
        <v>44105.689382353958</v>
      </c>
      <c r="R31" s="110">
        <f>IF(Operations!$N31=0,0,IF(Operations!$I31*Operations!$H31=0,0,(Operations!$P31-Operations!$Q31)/(Operations!$H31)))</f>
        <v>3.2010253076658266</v>
      </c>
      <c r="S31" s="112">
        <f>IF(Operations!$H31=0,0,Operations!$P31*'General Variables'!$B$9/Operations!$H31)</f>
        <v>0.9461342938003956</v>
      </c>
      <c r="T31" s="112">
        <f>IF(Operations!$H31=0,0,Operations!$P31*'General Variables'!$B$10/Operations!$H31)</f>
        <v>1.8922685876007912</v>
      </c>
      <c r="U31" s="112">
        <f>SUM(Table3[[#This Row],[Depreciation per Unit]:[Opportunity Cost per Unit]])</f>
        <v>6.0394281890670136</v>
      </c>
      <c r="W31" s="1" t="s">
        <v>173</v>
      </c>
      <c r="X31" s="1" t="s">
        <v>116</v>
      </c>
      <c r="Y31" s="2" t="s">
        <v>117</v>
      </c>
      <c r="Z31" s="2" t="s">
        <v>118</v>
      </c>
      <c r="AA31" s="3">
        <v>2000</v>
      </c>
    </row>
    <row r="32" spans="1:39" ht="12.75" customHeight="1" x14ac:dyDescent="0.25">
      <c r="A32" s="124" t="s">
        <v>282</v>
      </c>
      <c r="B32" s="103" t="s">
        <v>64</v>
      </c>
      <c r="C32" s="104" t="s">
        <v>318</v>
      </c>
      <c r="D32" s="104" t="s">
        <v>329</v>
      </c>
      <c r="E32" s="117">
        <v>110000</v>
      </c>
      <c r="F32" s="119"/>
      <c r="G32" s="105">
        <v>5</v>
      </c>
      <c r="H32" s="105">
        <v>1000</v>
      </c>
      <c r="I32" s="113">
        <v>6</v>
      </c>
      <c r="J32" s="108">
        <v>1.1000000000000001</v>
      </c>
      <c r="K32" s="104" t="s">
        <v>415</v>
      </c>
      <c r="L32" s="106">
        <v>6.1906976744186046</v>
      </c>
      <c r="M32" s="108"/>
      <c r="N32" s="109">
        <f>IF(Operations!$E32&gt;1,Operations!$E32,IF(Operations!$D32=0,0,Operations!$F32/(VLOOKUP(Operations!$D32,ImpDepLookup,2,FALSE)-VLOOKUP(Operations!$D32,ImpDepLookup,3,FALSE)*Operations!$G32^0.5-VLOOKUP(Operations!$D32,ImpDepLookup,4,FALSE)*(Operations!$G32*(Operations!$G32*Operations!$H32/Operations!$I32)^0.5))^2))</f>
        <v>110000</v>
      </c>
      <c r="O32" s="110">
        <f>IF(Operations!$C32="",0,(((Operations!$G32+1)*Operations!$H32/Operations!$I32/1000)^VLOOKUP(Operations!$C32,ImpRepairFac[],4,FALSE)-(Operations!$G32*Operations!$H32/Operations!$I32/1000)^VLOOKUP(Operations!$C32,ImpRepairFac[],4,FALSE))*Operations!$N32*VLOOKUP(Operations!$C32,ImpRepairFac[],3,FALSE)/Operations!$H32)</f>
        <v>13.695388319300086</v>
      </c>
      <c r="P32" s="111">
        <f>IF(Operations!$N32=0,0,Operations!$N32*(VLOOKUP(Operations!$D32,ImpDepLookup,2,FALSE)-VLOOKUP(Operations!$D32,ImpDepLookup,3,FALSE)*Operations!$G32^0.5-VLOOKUP(Operations!$D32,ImpDepLookup,4,FALSE)*(Operations!$G32*Operations!$H32/Operations!$I32)^0.5)^2)</f>
        <v>43128.003248041372</v>
      </c>
      <c r="Q32" s="111">
        <f>IF(Operations!$N32=0,0,Operations!$N32*(VLOOKUP(Operations!$D32,ImpDepLookup,2,FALSE)-VLOOKUP(Operations!$D32,ImpDepLookup,3,FALSE)*(Operations!$G32+1)^0.5-VLOOKUP(Operations!$D32,ImpDepLookup,4,FALSE)*(Operations!$G32*Operations!$H32/Operations!$I32)^0.5)^2)</f>
        <v>40209.731903884829</v>
      </c>
      <c r="R32" s="110">
        <f>IF(Operations!$N32=0,0,IF(Operations!$I32*Operations!$H32=0,0,(Operations!$P32-Operations!$Q32)/(Operations!$H32)))</f>
        <v>2.9182713441565431</v>
      </c>
      <c r="S32" s="112">
        <f>IF(Operations!$H32=0,0,Operations!$P32*'General Variables'!$B$9/Operations!$H32)</f>
        <v>0.86256006496082749</v>
      </c>
      <c r="T32" s="112">
        <f>IF(Operations!$H32=0,0,Operations!$P32*'General Variables'!$B$10/Operations!$H32)</f>
        <v>1.725120129921655</v>
      </c>
      <c r="U32" s="112">
        <f>SUM(Table3[[#This Row],[Depreciation per Unit]:[Opportunity Cost per Unit]])</f>
        <v>5.5059515390390255</v>
      </c>
      <c r="W32" s="1" t="s">
        <v>174</v>
      </c>
      <c r="X32" s="1" t="s">
        <v>116</v>
      </c>
      <c r="Y32" s="2" t="s">
        <v>175</v>
      </c>
      <c r="Z32" s="2" t="s">
        <v>147</v>
      </c>
      <c r="AA32" s="4">
        <v>2500</v>
      </c>
    </row>
    <row r="33" spans="1:27" ht="12.75" customHeight="1" x14ac:dyDescent="0.25">
      <c r="A33" s="124" t="s">
        <v>544</v>
      </c>
      <c r="B33" s="103" t="s">
        <v>57</v>
      </c>
      <c r="C33" s="104" t="s">
        <v>355</v>
      </c>
      <c r="D33" s="104" t="s">
        <v>301</v>
      </c>
      <c r="E33" s="105">
        <v>4090</v>
      </c>
      <c r="F33" s="106"/>
      <c r="G33" s="105">
        <v>5</v>
      </c>
      <c r="H33" s="105">
        <v>3000</v>
      </c>
      <c r="I33" s="113">
        <v>20</v>
      </c>
      <c r="J33" s="108">
        <v>1.1000000000000001</v>
      </c>
      <c r="K33" s="104" t="s">
        <v>416</v>
      </c>
      <c r="L33" s="106">
        <v>4</v>
      </c>
      <c r="M33" s="108"/>
      <c r="N33" s="109">
        <f>IF(Operations!$E33&gt;1,Operations!$E33,IF(Operations!$D33=0,0,Operations!$F33/(VLOOKUP(Operations!$D33,ImpDepLookup,2,FALSE)-VLOOKUP(Operations!$D33,ImpDepLookup,3,FALSE)*Operations!$G33^0.5-VLOOKUP(Operations!$D33,ImpDepLookup,4,FALSE)*(Operations!$G33*(Operations!$G33*Operations!$H33/Operations!$I33)^0.5))^2))</f>
        <v>4090</v>
      </c>
      <c r="O33" s="110">
        <f>IF(Operations!$C33="",0,(((Operations!$G33+1)*Operations!$H33/Operations!$I33/1000)^VLOOKUP(Operations!$C33,ImpRepairFac[],4,FALSE)-(Operations!$G33*Operations!$H33/Operations!$I33/1000)^VLOOKUP(Operations!$C33,ImpRepairFac[],4,FALSE))*Operations!$N33*VLOOKUP(Operations!$C33,ImpRepairFac[],3,FALSE)/Operations!$H33)</f>
        <v>4.6629617678102003E-2</v>
      </c>
      <c r="P33" s="111">
        <f>IF(Operations!$N33=0,0,Operations!$N33*(VLOOKUP(Operations!$D33,ImpDepLookup,2,FALSE)-VLOOKUP(Operations!$D33,ImpDepLookup,3,FALSE)*Operations!$G33^0.5-VLOOKUP(Operations!$D33,ImpDepLookup,4,FALSE)*(Operations!$G33*Operations!$H33/Operations!$I33)^0.5)^2)</f>
        <v>1411.7746736567874</v>
      </c>
      <c r="Q33" s="111">
        <f>IF(Operations!$N33=0,0,Operations!$N33*(VLOOKUP(Operations!$D33,ImpDepLookup,2,FALSE)-VLOOKUP(Operations!$D33,ImpDepLookup,3,FALSE)*(Operations!$G33+1)^0.5-VLOOKUP(Operations!$D33,ImpDepLookup,4,FALSE)*(Operations!$G33*Operations!$H33/Operations!$I33)^0.5)^2)</f>
        <v>1319.9802507862432</v>
      </c>
      <c r="R33" s="110">
        <f>IF(Operations!$N33=0,0,IF(Operations!$I33*Operations!$H33=0,0,(Operations!$P33-Operations!$Q33)/(Operations!$H33)))</f>
        <v>3.0598140956848055E-2</v>
      </c>
      <c r="S33" s="112">
        <f>IF(Operations!$H33=0,0,Operations!$P33*'General Variables'!$B$9/Operations!$H33)</f>
        <v>9.4118311577119154E-3</v>
      </c>
      <c r="T33" s="112">
        <f>IF(Operations!$H33=0,0,Operations!$P33*'General Variables'!$B$10/Operations!$H33)</f>
        <v>1.8823662315423831E-2</v>
      </c>
      <c r="U33" s="112">
        <f>SUM(Table3[[#This Row],[Depreciation per Unit]:[Opportunity Cost per Unit]])</f>
        <v>5.8833634429983801E-2</v>
      </c>
      <c r="W33" s="1" t="s">
        <v>176</v>
      </c>
      <c r="X33" s="1" t="s">
        <v>116</v>
      </c>
      <c r="Y33" s="2" t="s">
        <v>120</v>
      </c>
      <c r="Z33" s="2" t="s">
        <v>121</v>
      </c>
      <c r="AA33" s="4">
        <v>1200</v>
      </c>
    </row>
    <row r="34" spans="1:27" ht="12.75" customHeight="1" x14ac:dyDescent="0.25">
      <c r="A34" s="124" t="s">
        <v>545</v>
      </c>
      <c r="B34" s="103" t="s">
        <v>57</v>
      </c>
      <c r="C34" s="104"/>
      <c r="D34" s="104" t="s">
        <v>301</v>
      </c>
      <c r="E34" s="105">
        <v>4090</v>
      </c>
      <c r="F34" s="106"/>
      <c r="G34" s="105">
        <v>5</v>
      </c>
      <c r="H34" s="105">
        <v>3000</v>
      </c>
      <c r="I34" s="113">
        <v>20</v>
      </c>
      <c r="J34" s="108">
        <v>1.1000000000000001</v>
      </c>
      <c r="K34" s="104" t="s">
        <v>416</v>
      </c>
      <c r="L34" s="106">
        <v>4</v>
      </c>
      <c r="M34" s="108"/>
      <c r="N34" s="109">
        <f>IF(Operations!$E34&gt;1,Operations!$E34,IF(Operations!$D34=0,0,Operations!$F34/(VLOOKUP(Operations!$D34,ImpDepLookup,2,FALSE)-VLOOKUP(Operations!$D34,ImpDepLookup,3,FALSE)*Operations!$G34^0.5-VLOOKUP(Operations!$D34,ImpDepLookup,4,FALSE)*(Operations!$G34*(Operations!$G34*Operations!$H34/Operations!$I34)^0.5))^2))</f>
        <v>4090</v>
      </c>
      <c r="O34" s="110">
        <f>IF(Operations!$C34="",0,(((Operations!$G34+1)*Operations!$H34/Operations!$I34/1000)^VLOOKUP(Operations!$C34,ImpRepairFac[],4,FALSE)-(Operations!$G34*Operations!$H34/Operations!$I34/1000)^VLOOKUP(Operations!$C34,ImpRepairFac[],4,FALSE))*Operations!$N34*VLOOKUP(Operations!$C34,ImpRepairFac[],3,FALSE)/Operations!$H34)</f>
        <v>0</v>
      </c>
      <c r="P34" s="111">
        <f>IF(Operations!$N34=0,0,Operations!$N34*(VLOOKUP(Operations!$D34,ImpDepLookup,2,FALSE)-VLOOKUP(Operations!$D34,ImpDepLookup,3,FALSE)*Operations!$G34^0.5-VLOOKUP(Operations!$D34,ImpDepLookup,4,FALSE)*(Operations!$G34*Operations!$H34/Operations!$I34)^0.5)^2)</f>
        <v>1411.7746736567874</v>
      </c>
      <c r="Q34" s="111">
        <f>IF(Operations!$N34=0,0,Operations!$N34*(VLOOKUP(Operations!$D34,ImpDepLookup,2,FALSE)-VLOOKUP(Operations!$D34,ImpDepLookup,3,FALSE)*(Operations!$G34+1)^0.5-VLOOKUP(Operations!$D34,ImpDepLookup,4,FALSE)*(Operations!$G34*Operations!$H34/Operations!$I34)^0.5)^2)</f>
        <v>1319.9802507862432</v>
      </c>
      <c r="R34" s="110">
        <f>IF(Operations!$N34=0,0,IF(Operations!$I34*Operations!$H34=0,0,(Operations!$P34-Operations!$Q34)/(Operations!$H34)))</f>
        <v>3.0598140956848055E-2</v>
      </c>
      <c r="S34" s="112">
        <f>IF(Operations!$H34=0,0,Operations!$P34*'General Variables'!$B$9/Operations!$H34)</f>
        <v>9.4118311577119154E-3</v>
      </c>
      <c r="T34" s="112">
        <f>IF(Operations!$H34=0,0,Operations!$P34*'General Variables'!$B$10/Operations!$H34)</f>
        <v>1.8823662315423831E-2</v>
      </c>
      <c r="U34" s="112">
        <f>SUM(Table3[[#This Row],[Depreciation per Unit]:[Opportunity Cost per Unit]])</f>
        <v>5.8833634429983801E-2</v>
      </c>
      <c r="W34" s="1" t="s">
        <v>177</v>
      </c>
      <c r="X34" s="1" t="s">
        <v>108</v>
      </c>
      <c r="Y34" s="2" t="s">
        <v>178</v>
      </c>
      <c r="Z34" s="2" t="s">
        <v>147</v>
      </c>
      <c r="AA34" s="4">
        <v>1500</v>
      </c>
    </row>
    <row r="35" spans="1:27" ht="12.75" customHeight="1" x14ac:dyDescent="0.25">
      <c r="A35" s="124" t="s">
        <v>283</v>
      </c>
      <c r="B35" s="103" t="s">
        <v>64</v>
      </c>
      <c r="C35" s="104" t="s">
        <v>311</v>
      </c>
      <c r="D35" s="104" t="s">
        <v>328</v>
      </c>
      <c r="E35" s="114">
        <v>66251</v>
      </c>
      <c r="F35" s="106"/>
      <c r="G35" s="105">
        <v>5</v>
      </c>
      <c r="H35" s="105">
        <v>1000</v>
      </c>
      <c r="I35" s="113">
        <v>12</v>
      </c>
      <c r="J35" s="108">
        <v>1.1000000000000001</v>
      </c>
      <c r="K35" s="104" t="s">
        <v>416</v>
      </c>
      <c r="L35" s="106">
        <v>6.0699481865284985</v>
      </c>
      <c r="M35" s="108"/>
      <c r="N35" s="109">
        <f>IF(Operations!$E35&gt;1,Operations!$E35,IF(Operations!$D35=0,0,Operations!$F35/(VLOOKUP(Operations!$D35,ImpDepLookup,2,FALSE)-VLOOKUP(Operations!$D35,ImpDepLookup,3,FALSE)*Operations!$G35^0.5-VLOOKUP(Operations!$D35,ImpDepLookup,4,FALSE)*(Operations!$G35*(Operations!$G35*Operations!$H35/Operations!$I35)^0.5))^2))</f>
        <v>66251</v>
      </c>
      <c r="O35" s="110">
        <f>IF(Operations!$C35="",0,(((Operations!$G35+1)*Operations!$H35/Operations!$I35/1000)^VLOOKUP(Operations!$C35,ImpRepairFac[],4,FALSE)-(Operations!$G35*Operations!$H35/Operations!$I35/1000)^VLOOKUP(Operations!$C35,ImpRepairFac[],4,FALSE))*Operations!$N35*VLOOKUP(Operations!$C35,ImpRepairFac[],3,FALSE)/Operations!$H35)</f>
        <v>1.5730622046085332</v>
      </c>
      <c r="P35" s="111">
        <f>IF(Operations!$N35=0,0,Operations!$N35*(VLOOKUP(Operations!$D35,ImpDepLookup,2,FALSE)-VLOOKUP(Operations!$D35,ImpDepLookup,3,FALSE)*Operations!$G35^0.5-VLOOKUP(Operations!$D35,ImpDepLookup,4,FALSE)*(Operations!$G35*Operations!$H35/Operations!$I35)^0.5)^2)</f>
        <v>33264.303015700767</v>
      </c>
      <c r="Q35" s="111">
        <f>IF(Operations!$N35=0,0,Operations!$N35*(VLOOKUP(Operations!$D35,ImpDepLookup,2,FALSE)-VLOOKUP(Operations!$D35,ImpDepLookup,3,FALSE)*(Operations!$G35+1)^0.5-VLOOKUP(Operations!$D35,ImpDepLookup,4,FALSE)*(Operations!$G35*Operations!$H35/Operations!$I35)^0.5)^2)</f>
        <v>31719.699288547472</v>
      </c>
      <c r="R35" s="110">
        <f>IF(Operations!$N35=0,0,IF(Operations!$I35*Operations!$H35=0,0,(Operations!$P35-Operations!$Q35)/(Operations!$H35)))</f>
        <v>1.5446037271532951</v>
      </c>
      <c r="S35" s="112">
        <f>IF(Operations!$H35=0,0,Operations!$P35*'General Variables'!$B$9/Operations!$H35)</f>
        <v>0.66528606031401538</v>
      </c>
      <c r="T35" s="112">
        <f>IF(Operations!$H35=0,0,Operations!$P35*'General Variables'!$B$10/Operations!$H35)</f>
        <v>1.3305721206280308</v>
      </c>
      <c r="U35" s="112">
        <f>SUM(Table3[[#This Row],[Depreciation per Unit]:[Opportunity Cost per Unit]])</f>
        <v>3.5404619080953412</v>
      </c>
      <c r="W35" s="1" t="s">
        <v>179</v>
      </c>
      <c r="X35" s="1" t="s">
        <v>116</v>
      </c>
      <c r="Y35" s="2" t="s">
        <v>167</v>
      </c>
      <c r="Z35" s="2" t="s">
        <v>147</v>
      </c>
      <c r="AA35" s="4">
        <v>3000</v>
      </c>
    </row>
    <row r="36" spans="1:27" ht="12.75" customHeight="1" x14ac:dyDescent="0.25">
      <c r="A36" s="124" t="s">
        <v>284</v>
      </c>
      <c r="B36" s="103" t="s">
        <v>64</v>
      </c>
      <c r="C36" s="104" t="s">
        <v>319</v>
      </c>
      <c r="D36" s="104" t="s">
        <v>301</v>
      </c>
      <c r="E36" s="120">
        <v>32000</v>
      </c>
      <c r="F36" s="106"/>
      <c r="G36" s="105">
        <v>5</v>
      </c>
      <c r="H36" s="105">
        <v>1000</v>
      </c>
      <c r="I36" s="113">
        <v>10</v>
      </c>
      <c r="J36" s="108">
        <v>1.1000000000000001</v>
      </c>
      <c r="K36" s="104" t="s">
        <v>416</v>
      </c>
      <c r="L36" s="106">
        <v>6.0734042553191498</v>
      </c>
      <c r="M36" s="108"/>
      <c r="N36" s="109">
        <f>IF(Operations!$E36&gt;1,Operations!$E36,IF(Operations!$D36=0,0,Operations!$F36/(VLOOKUP(Operations!$D36,ImpDepLookup,2,FALSE)-VLOOKUP(Operations!$D36,ImpDepLookup,3,FALSE)*Operations!$G36^0.5-VLOOKUP(Operations!$D36,ImpDepLookup,4,FALSE)*(Operations!$G36*(Operations!$G36*Operations!$H36/Operations!$I36)^0.5))^2))</f>
        <v>32000</v>
      </c>
      <c r="O36" s="110">
        <f>IF(Operations!$C36="",0,(((Operations!$G36+1)*Operations!$H36/Operations!$I36/1000)^VLOOKUP(Operations!$C36,ImpRepairFac[],4,FALSE)-(Operations!$G36*Operations!$H36/Operations!$I36/1000)^VLOOKUP(Operations!$C36,ImpRepairFac[],4,FALSE))*Operations!$N36*VLOOKUP(Operations!$C36,ImpRepairFac[],3,FALSE)/Operations!$H36)</f>
        <v>0.71511152638384856</v>
      </c>
      <c r="P36" s="111">
        <f>IF(Operations!$N36=0,0,Operations!$N36*(VLOOKUP(Operations!$D36,ImpDepLookup,2,FALSE)-VLOOKUP(Operations!$D36,ImpDepLookup,3,FALSE)*Operations!$G36^0.5-VLOOKUP(Operations!$D36,ImpDepLookup,4,FALSE)*(Operations!$G36*Operations!$H36/Operations!$I36)^0.5)^2)</f>
        <v>11045.669818341614</v>
      </c>
      <c r="Q36" s="111">
        <f>IF(Operations!$N36=0,0,Operations!$N36*(VLOOKUP(Operations!$D36,ImpDepLookup,2,FALSE)-VLOOKUP(Operations!$D36,ImpDepLookup,3,FALSE)*(Operations!$G36+1)^0.5-VLOOKUP(Operations!$D36,ImpDepLookup,4,FALSE)*(Operations!$G36*Operations!$H36/Operations!$I36)^0.5)^2)</f>
        <v>10327.473844782344</v>
      </c>
      <c r="R36" s="110">
        <f>IF(Operations!$N36=0,0,IF(Operations!$I36*Operations!$H36=0,0,(Operations!$P36-Operations!$Q36)/(Operations!$H36)))</f>
        <v>0.71819597355927001</v>
      </c>
      <c r="S36" s="112">
        <f>IF(Operations!$H36=0,0,Operations!$P36*'General Variables'!$B$9/Operations!$H36)</f>
        <v>0.22091339636683227</v>
      </c>
      <c r="T36" s="112">
        <f>IF(Operations!$H36=0,0,Operations!$P36*'General Variables'!$B$10/Operations!$H36)</f>
        <v>0.44182679273366454</v>
      </c>
      <c r="U36" s="112">
        <f>SUM(Table3[[#This Row],[Depreciation per Unit]:[Opportunity Cost per Unit]])</f>
        <v>1.3809361626597667</v>
      </c>
      <c r="W36" s="1" t="s">
        <v>180</v>
      </c>
      <c r="X36" s="1" t="s">
        <v>116</v>
      </c>
      <c r="Y36" s="2" t="s">
        <v>161</v>
      </c>
      <c r="Z36" s="2" t="s">
        <v>118</v>
      </c>
      <c r="AA36" s="3">
        <v>2000</v>
      </c>
    </row>
    <row r="37" spans="1:27" ht="12.75" customHeight="1" x14ac:dyDescent="0.25">
      <c r="A37" s="124" t="s">
        <v>563</v>
      </c>
      <c r="B37" s="103" t="s">
        <v>395</v>
      </c>
      <c r="C37" s="104" t="s">
        <v>183</v>
      </c>
      <c r="D37" s="104" t="s">
        <v>327</v>
      </c>
      <c r="E37" s="105"/>
      <c r="F37" s="119">
        <v>7500</v>
      </c>
      <c r="G37" s="105">
        <v>10</v>
      </c>
      <c r="H37" s="114">
        <v>2600</v>
      </c>
      <c r="I37" s="113">
        <v>2.25</v>
      </c>
      <c r="J37" s="118">
        <f>5/24</f>
        <v>0.20833333333333334</v>
      </c>
      <c r="K37" s="104" t="s">
        <v>357</v>
      </c>
      <c r="L37" s="121">
        <v>3.03</v>
      </c>
      <c r="M37" s="108"/>
      <c r="N37" s="109">
        <f>IF(Operations!$E37&gt;1,Operations!$E37,IF(Operations!$D37=0,0,Operations!$F37/(VLOOKUP(Operations!$D37,ImpDepLookup,2,FALSE)-VLOOKUP(Operations!$D37,ImpDepLookup,3,FALSE)*Operations!$G37^0.5-VLOOKUP(Operations!$D37,ImpDepLookup,4,FALSE)*(Operations!$G37*(Operations!$G37*Operations!$H37/Operations!$I37)^0.5))^2))</f>
        <v>21401.127786861911</v>
      </c>
      <c r="O37" s="110">
        <f>IF(Operations!$C37="",0,(((Operations!$G37+1)*Operations!$H37/Operations!$I37/1000)^VLOOKUP(Operations!$C37,ImpRepairFac[],4,FALSE)-(Operations!$G37*Operations!$H37/Operations!$I37/1000)^VLOOKUP(Operations!$C37,ImpRepairFac[],4,FALSE))*Operations!$N37*VLOOKUP(Operations!$C37,ImpRepairFac[],3,FALSE)/Operations!$H37)</f>
        <v>0.19023224699432831</v>
      </c>
      <c r="P37" s="111">
        <f>IF(Operations!$N37=0,0,Operations!$N37*(VLOOKUP(Operations!$D37,ImpDepLookup,2,FALSE)-VLOOKUP(Operations!$D37,ImpDepLookup,3,FALSE)*Operations!$G37^0.5-VLOOKUP(Operations!$D37,ImpDepLookup,4,FALSE)*(Operations!$G37*Operations!$H37/Operations!$I37)^0.5)^2)</f>
        <v>7500</v>
      </c>
      <c r="Q37" s="111">
        <f>IF(Operations!$N37=0,0,Operations!$N37*(VLOOKUP(Operations!$D37,ImpDepLookup,2,FALSE)-VLOOKUP(Operations!$D37,ImpDepLookup,3,FALSE)*(Operations!$G37+1)^0.5-VLOOKUP(Operations!$D37,ImpDepLookup,4,FALSE)*(Operations!$G37*Operations!$H37/Operations!$I37)^0.5)^2)</f>
        <v>7072.1710320991388</v>
      </c>
      <c r="R37" s="110">
        <f>IF(Operations!$N37=0,0,IF(Operations!$I37*Operations!$H37=0,0,(Operations!$P37-Operations!$Q37)/(Operations!$H37)))</f>
        <v>0.16454960303879279</v>
      </c>
      <c r="S37" s="112">
        <f>IF(Operations!$H37=0,0,Operations!$P37*'General Variables'!$B$9/Operations!$H37)</f>
        <v>5.7692307692307696E-2</v>
      </c>
      <c r="T37" s="112">
        <f>IF(Operations!$H37=0,0,Operations!$P37*'General Variables'!$B$10/Operations!$H37)</f>
        <v>0.11538461538461539</v>
      </c>
      <c r="U37" s="112">
        <f>SUM(Table3[[#This Row],[Depreciation per Unit]:[Opportunity Cost per Unit]])</f>
        <v>0.33762652611571586</v>
      </c>
      <c r="W37" s="57" t="s">
        <v>183</v>
      </c>
      <c r="X37" s="45" t="s">
        <v>184</v>
      </c>
      <c r="Y37" s="46">
        <v>0.02</v>
      </c>
      <c r="Z37" s="46">
        <v>1</v>
      </c>
      <c r="AA37" s="58"/>
    </row>
    <row r="38" spans="1:27" ht="12.75" customHeight="1" x14ac:dyDescent="0.25">
      <c r="A38" s="124" t="s">
        <v>564</v>
      </c>
      <c r="B38" s="103" t="s">
        <v>395</v>
      </c>
      <c r="C38" s="104" t="s">
        <v>189</v>
      </c>
      <c r="D38" s="104" t="s">
        <v>353</v>
      </c>
      <c r="E38" s="114">
        <v>70000</v>
      </c>
      <c r="F38" s="106"/>
      <c r="G38" s="105">
        <v>10</v>
      </c>
      <c r="H38" s="105">
        <f>130*20</f>
        <v>2600</v>
      </c>
      <c r="I38" s="113">
        <v>1.8</v>
      </c>
      <c r="J38" s="108">
        <f>1.5/24</f>
        <v>6.25E-2</v>
      </c>
      <c r="K38" s="104" t="s">
        <v>302</v>
      </c>
      <c r="L38" s="106">
        <v>3.34</v>
      </c>
      <c r="M38" s="108"/>
      <c r="N38" s="109">
        <f>IF(Operations!$E38&gt;1,Operations!$E38,IF(Operations!$D38=0,0,Operations!$F38/(VLOOKUP(Operations!$D38,ImpDepLookup,2,FALSE)-VLOOKUP(Operations!$D38,ImpDepLookup,3,FALSE)*Operations!$G38^0.5-VLOOKUP(Operations!$D38,ImpDepLookup,4,FALSE)*(Operations!$G38*(Operations!$G38*Operations!$H38/Operations!$I38)^0.5))^2))</f>
        <v>70000</v>
      </c>
      <c r="O38" s="110">
        <f>IF(Operations!$C38="",0,(((Operations!$G38+1)*Operations!$H38/Operations!$I38/1000)^VLOOKUP(Operations!$C38,ImpRepairFac[],4,FALSE)-(Operations!$G38*Operations!$H38/Operations!$I38/1000)^VLOOKUP(Operations!$C38,ImpRepairFac[],4,FALSE))*Operations!$N38*VLOOKUP(Operations!$C38,ImpRepairFac[],3,FALSE)/Operations!$H38)</f>
        <v>1.6138888888888914</v>
      </c>
      <c r="P38" s="111">
        <f>IF(Operations!$N38=0,0,Operations!$N38*(VLOOKUP(Operations!$D38,ImpDepLookup,2,FALSE)-VLOOKUP(Operations!$D38,ImpDepLookup,3,FALSE)*Operations!$G38^0.5-VLOOKUP(Operations!$D38,ImpDepLookup,4,FALSE)*(Operations!$G38*Operations!$H38/Operations!$I38)^0.5)^2)</f>
        <v>20650.793313765596</v>
      </c>
      <c r="Q38" s="111">
        <f>IF(Operations!$N38=0,0,Operations!$N38*(VLOOKUP(Operations!$D38,ImpDepLookup,2,FALSE)-VLOOKUP(Operations!$D38,ImpDepLookup,3,FALSE)*(Operations!$G38+1)^0.5-VLOOKUP(Operations!$D38,ImpDepLookup,4,FALSE)*(Operations!$G38*Operations!$H38/Operations!$I38)^0.5)^2)</f>
        <v>19379.93460161742</v>
      </c>
      <c r="R38" s="110">
        <f>IF(Operations!$N38=0,0,IF(Operations!$I38*Operations!$H38=0,0,(Operations!$P38-Operations!$Q38)/(Operations!$H38)))</f>
        <v>0.48879181236468305</v>
      </c>
      <c r="S38" s="112">
        <f>IF(Operations!$H38=0,0,Operations!$P38*'General Variables'!$B$9/Operations!$H38)</f>
        <v>0.15885225625973537</v>
      </c>
      <c r="T38" s="112">
        <f>IF(Operations!$H38=0,0,Operations!$P38*'General Variables'!$B$10/Operations!$H38)</f>
        <v>0.31770451251947074</v>
      </c>
      <c r="U38" s="112">
        <f>SUM(Table3[[#This Row],[Depreciation per Unit]:[Opportunity Cost per Unit]])</f>
        <v>0.96534858114388922</v>
      </c>
      <c r="W38" s="59" t="s">
        <v>185</v>
      </c>
      <c r="X38" s="60" t="s">
        <v>184</v>
      </c>
      <c r="Y38" s="61">
        <v>0.03</v>
      </c>
      <c r="Z38" s="61">
        <v>1</v>
      </c>
      <c r="AA38" s="62"/>
    </row>
    <row r="39" spans="1:27" ht="12.75" customHeight="1" x14ac:dyDescent="0.25">
      <c r="A39" s="124" t="s">
        <v>565</v>
      </c>
      <c r="B39" s="103" t="s">
        <v>395</v>
      </c>
      <c r="C39" s="104" t="s">
        <v>189</v>
      </c>
      <c r="D39" s="104" t="s">
        <v>353</v>
      </c>
      <c r="E39" s="114">
        <v>75000</v>
      </c>
      <c r="F39" s="106"/>
      <c r="G39" s="105">
        <v>10</v>
      </c>
      <c r="H39" s="105">
        <f>130*20</f>
        <v>2600</v>
      </c>
      <c r="I39" s="113">
        <v>1.8</v>
      </c>
      <c r="J39" s="108">
        <f>2/24</f>
        <v>8.3333333333333329E-2</v>
      </c>
      <c r="K39" s="104" t="s">
        <v>302</v>
      </c>
      <c r="L39" s="106">
        <v>3.34</v>
      </c>
      <c r="M39" s="108"/>
      <c r="N39" s="109">
        <f>IF(Operations!$E39&gt;1,Operations!$E39,IF(Operations!$D39=0,0,Operations!$F39/(VLOOKUP(Operations!$D39,ImpDepLookup,2,FALSE)-VLOOKUP(Operations!$D39,ImpDepLookup,3,FALSE)*Operations!$G39^0.5-VLOOKUP(Operations!$D39,ImpDepLookup,4,FALSE)*(Operations!$G39*(Operations!$G39*Operations!$H39/Operations!$I39)^0.5))^2))</f>
        <v>75000</v>
      </c>
      <c r="O39" s="110">
        <f>IF(Operations!$C39="",0,(((Operations!$G39+1)*Operations!$H39/Operations!$I39/1000)^VLOOKUP(Operations!$C39,ImpRepairFac[],4,FALSE)-(Operations!$G39*Operations!$H39/Operations!$I39/1000)^VLOOKUP(Operations!$C39,ImpRepairFac[],4,FALSE))*Operations!$N39*VLOOKUP(Operations!$C39,ImpRepairFac[],3,FALSE)/Operations!$H39)</f>
        <v>1.7291666666666694</v>
      </c>
      <c r="P39" s="111">
        <f>IF(Operations!$N39=0,0,Operations!$N39*(VLOOKUP(Operations!$D39,ImpDepLookup,2,FALSE)-VLOOKUP(Operations!$D39,ImpDepLookup,3,FALSE)*Operations!$G39^0.5-VLOOKUP(Operations!$D39,ImpDepLookup,4,FALSE)*(Operations!$G39*Operations!$H39/Operations!$I39)^0.5)^2)</f>
        <v>22125.849979034567</v>
      </c>
      <c r="Q39" s="111">
        <f>IF(Operations!$N39=0,0,Operations!$N39*(VLOOKUP(Operations!$D39,ImpDepLookup,2,FALSE)-VLOOKUP(Operations!$D39,ImpDepLookup,3,FALSE)*(Operations!$G39+1)^0.5-VLOOKUP(Operations!$D39,ImpDepLookup,4,FALSE)*(Operations!$G39*Operations!$H39/Operations!$I39)^0.5)^2)</f>
        <v>20764.215644590095</v>
      </c>
      <c r="R39" s="110">
        <f>IF(Operations!$N39=0,0,IF(Operations!$I39*Operations!$H39=0,0,(Operations!$P39-Operations!$Q39)/(Operations!$H39)))</f>
        <v>0.52370551324787395</v>
      </c>
      <c r="S39" s="112">
        <f>IF(Operations!$H39=0,0,Operations!$P39*'General Variables'!$B$9/Operations!$H39)</f>
        <v>0.17019884599257359</v>
      </c>
      <c r="T39" s="112">
        <f>IF(Operations!$H39=0,0,Operations!$P39*'General Variables'!$B$10/Operations!$H39)</f>
        <v>0.34039769198514719</v>
      </c>
      <c r="U39" s="112">
        <f>SUM(Table3[[#This Row],[Depreciation per Unit]:[Opportunity Cost per Unit]])</f>
        <v>1.0343020512255947</v>
      </c>
      <c r="W39" s="57" t="s">
        <v>186</v>
      </c>
      <c r="X39" s="45" t="s">
        <v>184</v>
      </c>
      <c r="Y39" s="46">
        <v>0.02</v>
      </c>
      <c r="Z39" s="46">
        <v>1</v>
      </c>
      <c r="AA39" s="58"/>
    </row>
    <row r="40" spans="1:27" ht="12.75" customHeight="1" x14ac:dyDescent="0.25">
      <c r="A40" s="124" t="s">
        <v>566</v>
      </c>
      <c r="B40" s="103" t="s">
        <v>395</v>
      </c>
      <c r="C40" s="104" t="s">
        <v>189</v>
      </c>
      <c r="D40" s="104" t="s">
        <v>353</v>
      </c>
      <c r="E40" s="114">
        <v>70000</v>
      </c>
      <c r="F40" s="106"/>
      <c r="G40" s="105">
        <v>10</v>
      </c>
      <c r="H40" s="105">
        <f>130*20</f>
        <v>2600</v>
      </c>
      <c r="I40" s="113">
        <v>1.8</v>
      </c>
      <c r="J40" s="108">
        <f>1.5/24</f>
        <v>6.25E-2</v>
      </c>
      <c r="K40" s="104" t="s">
        <v>304</v>
      </c>
      <c r="L40" s="106"/>
      <c r="M40" s="108">
        <v>47.78</v>
      </c>
      <c r="N40" s="109">
        <f>IF(Operations!$E40&gt;1,Operations!$E40,IF(Operations!$D40=0,0,Operations!$F40/(VLOOKUP(Operations!$D40,ImpDepLookup,2,FALSE)-VLOOKUP(Operations!$D40,ImpDepLookup,3,FALSE)*Operations!$G40^0.5-VLOOKUP(Operations!$D40,ImpDepLookup,4,FALSE)*(Operations!$G40*(Operations!$G40*Operations!$H40/Operations!$I40)^0.5))^2))</f>
        <v>70000</v>
      </c>
      <c r="O40" s="110">
        <f>IF(Operations!$C40="",0,(((Operations!$G40+1)*Operations!$H40/Operations!$I40/1000)^VLOOKUP(Operations!$C40,ImpRepairFac[],4,FALSE)-(Operations!$G40*Operations!$H40/Operations!$I40/1000)^VLOOKUP(Operations!$C40,ImpRepairFac[],4,FALSE))*Operations!$N40*VLOOKUP(Operations!$C40,ImpRepairFac[],3,FALSE)/Operations!$H40)</f>
        <v>1.6138888888888914</v>
      </c>
      <c r="P40" s="111">
        <f>IF(Operations!$N40=0,0,Operations!$N40*(VLOOKUP(Operations!$D40,ImpDepLookup,2,FALSE)-VLOOKUP(Operations!$D40,ImpDepLookup,3,FALSE)*Operations!$G40^0.5-VLOOKUP(Operations!$D40,ImpDepLookup,4,FALSE)*(Operations!$G40*Operations!$H40/Operations!$I40)^0.5)^2)</f>
        <v>20650.793313765596</v>
      </c>
      <c r="Q40" s="111">
        <f>IF(Operations!$N40=0,0,Operations!$N40*(VLOOKUP(Operations!$D40,ImpDepLookup,2,FALSE)-VLOOKUP(Operations!$D40,ImpDepLookup,3,FALSE)*(Operations!$G40+1)^0.5-VLOOKUP(Operations!$D40,ImpDepLookup,4,FALSE)*(Operations!$G40*Operations!$H40/Operations!$I40)^0.5)^2)</f>
        <v>19379.93460161742</v>
      </c>
      <c r="R40" s="110">
        <f>IF(Operations!$N40=0,0,IF(Operations!$I40*Operations!$H40=0,0,(Operations!$P40-Operations!$Q40)/(Operations!$H40)))</f>
        <v>0.48879181236468305</v>
      </c>
      <c r="S40" s="112">
        <f>IF(Operations!$H40=0,0,Operations!$P40*'General Variables'!$B$9/Operations!$H40)</f>
        <v>0.15885225625973537</v>
      </c>
      <c r="T40" s="112">
        <f>IF(Operations!$H40=0,0,Operations!$P40*'General Variables'!$B$10/Operations!$H40)</f>
        <v>0.31770451251947074</v>
      </c>
      <c r="U40" s="112">
        <f>SUM(Table3[[#This Row],[Depreciation per Unit]:[Opportunity Cost per Unit]])</f>
        <v>0.96534858114388922</v>
      </c>
      <c r="W40" s="59" t="s">
        <v>187</v>
      </c>
      <c r="X40" s="60" t="s">
        <v>184</v>
      </c>
      <c r="Y40" s="61">
        <v>0.06</v>
      </c>
      <c r="Z40" s="61">
        <v>1</v>
      </c>
      <c r="AA40" s="62"/>
    </row>
    <row r="41" spans="1:27" ht="12.75" customHeight="1" x14ac:dyDescent="0.25">
      <c r="A41" s="124" t="s">
        <v>567</v>
      </c>
      <c r="B41" s="103" t="s">
        <v>395</v>
      </c>
      <c r="C41" s="104" t="s">
        <v>189</v>
      </c>
      <c r="D41" s="104" t="s">
        <v>353</v>
      </c>
      <c r="E41" s="114">
        <v>75000</v>
      </c>
      <c r="F41" s="106"/>
      <c r="G41" s="105">
        <v>10</v>
      </c>
      <c r="H41" s="105">
        <f>130*20</f>
        <v>2600</v>
      </c>
      <c r="I41" s="113">
        <v>1.8</v>
      </c>
      <c r="J41" s="108">
        <f>2/24</f>
        <v>8.3333333333333329E-2</v>
      </c>
      <c r="K41" s="104" t="s">
        <v>304</v>
      </c>
      <c r="L41" s="106"/>
      <c r="M41" s="108">
        <v>47.78</v>
      </c>
      <c r="N41" s="109">
        <f>IF(Operations!$E41&gt;1,Operations!$E41,IF(Operations!$D41=0,0,Operations!$F41/(VLOOKUP(Operations!$D41,ImpDepLookup,2,FALSE)-VLOOKUP(Operations!$D41,ImpDepLookup,3,FALSE)*Operations!$G41^0.5-VLOOKUP(Operations!$D41,ImpDepLookup,4,FALSE)*(Operations!$G41*(Operations!$G41*Operations!$H41/Operations!$I41)^0.5))^2))</f>
        <v>75000</v>
      </c>
      <c r="O41" s="110">
        <f>IF(Operations!$C41="",0,(((Operations!$G41+1)*Operations!$H41/Operations!$I41/1000)^VLOOKUP(Operations!$C41,ImpRepairFac[],4,FALSE)-(Operations!$G41*Operations!$H41/Operations!$I41/1000)^VLOOKUP(Operations!$C41,ImpRepairFac[],4,FALSE))*Operations!$N41*VLOOKUP(Operations!$C41,ImpRepairFac[],3,FALSE)/Operations!$H41)</f>
        <v>1.7291666666666694</v>
      </c>
      <c r="P41" s="111">
        <f>IF(Operations!$N41=0,0,Operations!$N41*(VLOOKUP(Operations!$D41,ImpDepLookup,2,FALSE)-VLOOKUP(Operations!$D41,ImpDepLookup,3,FALSE)*Operations!$G41^0.5-VLOOKUP(Operations!$D41,ImpDepLookup,4,FALSE)*(Operations!$G41*Operations!$H41/Operations!$I41)^0.5)^2)</f>
        <v>22125.849979034567</v>
      </c>
      <c r="Q41" s="111">
        <f>IF(Operations!$N41=0,0,Operations!$N41*(VLOOKUP(Operations!$D41,ImpDepLookup,2,FALSE)-VLOOKUP(Operations!$D41,ImpDepLookup,3,FALSE)*(Operations!$G41+1)^0.5-VLOOKUP(Operations!$D41,ImpDepLookup,4,FALSE)*(Operations!$G41*Operations!$H41/Operations!$I41)^0.5)^2)</f>
        <v>20764.215644590095</v>
      </c>
      <c r="R41" s="110">
        <f>IF(Operations!$N41=0,0,IF(Operations!$I41*Operations!$H41=0,0,(Operations!$P41-Operations!$Q41)/(Operations!$H41)))</f>
        <v>0.52370551324787395</v>
      </c>
      <c r="S41" s="112">
        <f>IF(Operations!$H41=0,0,Operations!$P41*'General Variables'!$B$9/Operations!$H41)</f>
        <v>0.17019884599257359</v>
      </c>
      <c r="T41" s="112">
        <f>IF(Operations!$H41=0,0,Operations!$P41*'General Variables'!$B$10/Operations!$H41)</f>
        <v>0.34039769198514719</v>
      </c>
      <c r="U41" s="112">
        <f>SUM(Table3[[#This Row],[Depreciation per Unit]:[Opportunity Cost per Unit]])</f>
        <v>1.0343020512255947</v>
      </c>
      <c r="W41" s="57" t="s">
        <v>188</v>
      </c>
      <c r="X41" s="45" t="s">
        <v>184</v>
      </c>
      <c r="Y41" s="46">
        <v>0.06</v>
      </c>
      <c r="Z41" s="46">
        <v>1</v>
      </c>
      <c r="AA41" s="58"/>
    </row>
    <row r="42" spans="1:27" ht="12.75" customHeight="1" x14ac:dyDescent="0.25">
      <c r="A42" s="124" t="s">
        <v>285</v>
      </c>
      <c r="B42" s="103" t="s">
        <v>64</v>
      </c>
      <c r="C42" s="104" t="s">
        <v>320</v>
      </c>
      <c r="D42" s="104" t="s">
        <v>328</v>
      </c>
      <c r="E42" s="114">
        <v>72828</v>
      </c>
      <c r="F42" s="106"/>
      <c r="G42" s="105">
        <v>5</v>
      </c>
      <c r="H42" s="105">
        <v>1000</v>
      </c>
      <c r="I42" s="113">
        <v>10</v>
      </c>
      <c r="J42" s="108">
        <v>1.2</v>
      </c>
      <c r="K42" s="104" t="s">
        <v>416</v>
      </c>
      <c r="L42" s="106">
        <v>2.73</v>
      </c>
      <c r="M42" s="108"/>
      <c r="N42" s="109">
        <f>IF(Operations!$E42&gt;1,Operations!$E42,IF(Operations!$D42=0,0,Operations!$F42/(VLOOKUP(Operations!$D42,ImpDepLookup,2,FALSE)-VLOOKUP(Operations!$D42,ImpDepLookup,3,FALSE)*Operations!$G42^0.5-VLOOKUP(Operations!$D42,ImpDepLookup,4,FALSE)*(Operations!$G42*(Operations!$G42*Operations!$H42/Operations!$I42)^0.5))^2))</f>
        <v>72828</v>
      </c>
      <c r="O42" s="110">
        <f>IF(Operations!$C42="",0,(((Operations!$G42+1)*Operations!$H42/Operations!$I42/1000)^VLOOKUP(Operations!$C42,ImpRepairFac[],4,FALSE)-(Operations!$G42*Operations!$H42/Operations!$I42/1000)^VLOOKUP(Operations!$C42,ImpRepairFac[],4,FALSE))*Operations!$N42*VLOOKUP(Operations!$C42,ImpRepairFac[],3,FALSE)/Operations!$H42)</f>
        <v>2.5359019569447963</v>
      </c>
      <c r="P42" s="111">
        <f>IF(Operations!$N42=0,0,Operations!$N42*(VLOOKUP(Operations!$D42,ImpDepLookup,2,FALSE)-VLOOKUP(Operations!$D42,ImpDepLookup,3,FALSE)*Operations!$G42^0.5-VLOOKUP(Operations!$D42,ImpDepLookup,4,FALSE)*(Operations!$G42*Operations!$H42/Operations!$I42)^0.5)^2)</f>
        <v>36566.58254256472</v>
      </c>
      <c r="Q42" s="111">
        <f>IF(Operations!$N42=0,0,Operations!$N42*(VLOOKUP(Operations!$D42,ImpDepLookup,2,FALSE)-VLOOKUP(Operations!$D42,ImpDepLookup,3,FALSE)*(Operations!$G42+1)^0.5-VLOOKUP(Operations!$D42,ImpDepLookup,4,FALSE)*(Operations!$G42*Operations!$H42/Operations!$I42)^0.5)^2)</f>
        <v>34868.639866361795</v>
      </c>
      <c r="R42" s="110">
        <f>IF(Operations!$N42=0,0,IF(Operations!$I42*Operations!$H42=0,0,(Operations!$P42-Operations!$Q42)/(Operations!$H42)))</f>
        <v>1.6979426762029253</v>
      </c>
      <c r="S42" s="112">
        <f>IF(Operations!$H42=0,0,Operations!$P42*'General Variables'!$B$9/Operations!$H42)</f>
        <v>0.73133165085129437</v>
      </c>
      <c r="T42" s="112">
        <f>IF(Operations!$H42=0,0,Operations!$P42*'General Variables'!$B$10/Operations!$H42)</f>
        <v>1.4626633017025887</v>
      </c>
      <c r="U42" s="112">
        <f>SUM(Table3[[#This Row],[Depreciation per Unit]:[Opportunity Cost per Unit]])</f>
        <v>3.8919376287568084</v>
      </c>
      <c r="W42" s="59" t="s">
        <v>189</v>
      </c>
      <c r="X42" s="60" t="s">
        <v>184</v>
      </c>
      <c r="Y42" s="61">
        <v>4.1500000000000002E-2</v>
      </c>
      <c r="Z42" s="61">
        <v>1</v>
      </c>
      <c r="AA42" s="62"/>
    </row>
    <row r="43" spans="1:27" ht="12.75" customHeight="1" x14ac:dyDescent="0.25">
      <c r="A43" s="124" t="s">
        <v>286</v>
      </c>
      <c r="B43" s="103" t="s">
        <v>64</v>
      </c>
      <c r="C43" s="104" t="s">
        <v>320</v>
      </c>
      <c r="D43" s="104" t="s">
        <v>328</v>
      </c>
      <c r="E43" s="105">
        <v>72828</v>
      </c>
      <c r="F43" s="106"/>
      <c r="G43" s="105">
        <v>5</v>
      </c>
      <c r="H43" s="105">
        <v>1000</v>
      </c>
      <c r="I43" s="113">
        <v>10</v>
      </c>
      <c r="J43" s="108">
        <v>1.2</v>
      </c>
      <c r="K43" s="104" t="s">
        <v>416</v>
      </c>
      <c r="L43" s="106">
        <v>2.580373831775701</v>
      </c>
      <c r="M43" s="108"/>
      <c r="N43" s="109">
        <f>IF(Operations!$E43&gt;1,Operations!$E43,IF(Operations!$D43=0,0,Operations!$F43/(VLOOKUP(Operations!$D43,ImpDepLookup,2,FALSE)-VLOOKUP(Operations!$D43,ImpDepLookup,3,FALSE)*Operations!$G43^0.5-VLOOKUP(Operations!$D43,ImpDepLookup,4,FALSE)*(Operations!$G43*(Operations!$G43*Operations!$H43/Operations!$I43)^0.5))^2))</f>
        <v>72828</v>
      </c>
      <c r="O43" s="110">
        <f>IF(Operations!$C43="",0,(((Operations!$G43+1)*Operations!$H43/Operations!$I43/1000)^VLOOKUP(Operations!$C43,ImpRepairFac[],4,FALSE)-(Operations!$G43*Operations!$H43/Operations!$I43/1000)^VLOOKUP(Operations!$C43,ImpRepairFac[],4,FALSE))*Operations!$N43*VLOOKUP(Operations!$C43,ImpRepairFac[],3,FALSE)/Operations!$H43)</f>
        <v>2.5359019569447963</v>
      </c>
      <c r="P43" s="111">
        <f>IF(Operations!$N43=0,0,Operations!$N43*(VLOOKUP(Operations!$D43,ImpDepLookup,2,FALSE)-VLOOKUP(Operations!$D43,ImpDepLookup,3,FALSE)*Operations!$G43^0.5-VLOOKUP(Operations!$D43,ImpDepLookup,4,FALSE)*(Operations!$G43*Operations!$H43/Operations!$I43)^0.5)^2)</f>
        <v>36566.58254256472</v>
      </c>
      <c r="Q43" s="111">
        <f>IF(Operations!$N43=0,0,Operations!$N43*(VLOOKUP(Operations!$D43,ImpDepLookup,2,FALSE)-VLOOKUP(Operations!$D43,ImpDepLookup,3,FALSE)*(Operations!$G43+1)^0.5-VLOOKUP(Operations!$D43,ImpDepLookup,4,FALSE)*(Operations!$G43*Operations!$H43/Operations!$I43)^0.5)^2)</f>
        <v>34868.639866361795</v>
      </c>
      <c r="R43" s="110">
        <f>IF(Operations!$N43=0,0,IF(Operations!$I43*Operations!$H43=0,0,(Operations!$P43-Operations!$Q43)/(Operations!$H43)))</f>
        <v>1.6979426762029253</v>
      </c>
      <c r="S43" s="112">
        <f>IF(Operations!$H43=0,0,Operations!$P43*'General Variables'!$B$9/Operations!$H43)</f>
        <v>0.73133165085129437</v>
      </c>
      <c r="T43" s="112">
        <f>IF(Operations!$H43=0,0,Operations!$P43*'General Variables'!$B$10/Operations!$H43)</f>
        <v>1.4626633017025887</v>
      </c>
      <c r="U43" s="112">
        <f>SUM(Table3[[#This Row],[Depreciation per Unit]:[Opportunity Cost per Unit]])</f>
        <v>3.8919376287568084</v>
      </c>
      <c r="W43" s="57" t="s">
        <v>190</v>
      </c>
      <c r="X43" s="45" t="s">
        <v>184</v>
      </c>
      <c r="Y43" s="46">
        <v>0.06</v>
      </c>
      <c r="Z43" s="46">
        <v>1</v>
      </c>
      <c r="AA43" s="58"/>
    </row>
    <row r="44" spans="1:27" ht="12.75" customHeight="1" x14ac:dyDescent="0.25">
      <c r="A44" s="124" t="s">
        <v>287</v>
      </c>
      <c r="B44" s="103" t="s">
        <v>64</v>
      </c>
      <c r="C44" s="104" t="s">
        <v>320</v>
      </c>
      <c r="D44" s="104" t="s">
        <v>328</v>
      </c>
      <c r="E44" s="114">
        <v>125418</v>
      </c>
      <c r="F44" s="106"/>
      <c r="G44" s="105">
        <v>5</v>
      </c>
      <c r="H44" s="114">
        <v>1000</v>
      </c>
      <c r="I44" s="113">
        <v>10</v>
      </c>
      <c r="J44" s="108">
        <v>1.2</v>
      </c>
      <c r="K44" s="104" t="s">
        <v>416</v>
      </c>
      <c r="L44" s="106">
        <v>3.38</v>
      </c>
      <c r="M44" s="108"/>
      <c r="N44" s="109">
        <f>IF(Operations!$E44&gt;1,Operations!$E44,IF(Operations!$D44=0,0,Operations!$F44/(VLOOKUP(Operations!$D44,ImpDepLookup,2,FALSE)-VLOOKUP(Operations!$D44,ImpDepLookup,3,FALSE)*Operations!$G44^0.5-VLOOKUP(Operations!$D44,ImpDepLookup,4,FALSE)*(Operations!$G44*(Operations!$G44*Operations!$H44/Operations!$I44)^0.5))^2))</f>
        <v>125418</v>
      </c>
      <c r="O44" s="110">
        <f>IF(Operations!$C44="",0,(((Operations!$G44+1)*Operations!$H44/Operations!$I44/1000)^VLOOKUP(Operations!$C44,ImpRepairFac[],4,FALSE)-(Operations!$G44*Operations!$H44/Operations!$I44/1000)^VLOOKUP(Operations!$C44,ImpRepairFac[],4,FALSE))*Operations!$N44*VLOOKUP(Operations!$C44,ImpRepairFac[],3,FALSE)/Operations!$H44)</f>
        <v>4.3671081402222018</v>
      </c>
      <c r="P44" s="111">
        <f>IF(Operations!$N44=0,0,Operations!$N44*(VLOOKUP(Operations!$D44,ImpDepLookup,2,FALSE)-VLOOKUP(Operations!$D44,ImpDepLookup,3,FALSE)*Operations!$G44^0.5-VLOOKUP(Operations!$D44,ImpDepLookup,4,FALSE)*(Operations!$G44*Operations!$H44/Operations!$I44)^0.5)^2)</f>
        <v>62971.764284662248</v>
      </c>
      <c r="Q44" s="111">
        <f>IF(Operations!$N44=0,0,Operations!$N44*(VLOOKUP(Operations!$D44,ImpDepLookup,2,FALSE)-VLOOKUP(Operations!$D44,ImpDepLookup,3,FALSE)*(Operations!$G44+1)^0.5-VLOOKUP(Operations!$D44,ImpDepLookup,4,FALSE)*(Operations!$G44*Operations!$H44/Operations!$I44)^0.5)^2)</f>
        <v>60047.716191016691</v>
      </c>
      <c r="R44" s="110">
        <f>IF(Operations!$N44=0,0,IF(Operations!$I44*Operations!$H44=0,0,(Operations!$P44-Operations!$Q44)/(Operations!$H44)))</f>
        <v>2.9240480936455571</v>
      </c>
      <c r="S44" s="112">
        <f>IF(Operations!$H44=0,0,Operations!$P44*'General Variables'!$B$9/Operations!$H44)</f>
        <v>1.2594352856932451</v>
      </c>
      <c r="T44" s="112">
        <f>IF(Operations!$H44=0,0,Operations!$P44*'General Variables'!$B$10/Operations!$H44)</f>
        <v>2.5188705713864903</v>
      </c>
      <c r="U44" s="112">
        <f>SUM(Table3[[#This Row],[Depreciation per Unit]:[Opportunity Cost per Unit]])</f>
        <v>6.7023539507252927</v>
      </c>
      <c r="W44" s="59" t="s">
        <v>191</v>
      </c>
      <c r="X44" s="60" t="s">
        <v>184</v>
      </c>
      <c r="Y44" s="61">
        <v>0.06</v>
      </c>
      <c r="Z44" s="61">
        <v>1</v>
      </c>
      <c r="AA44" s="62"/>
    </row>
    <row r="45" spans="1:27" ht="12.75" customHeight="1" x14ac:dyDescent="0.25">
      <c r="A45" s="124" t="s">
        <v>484</v>
      </c>
      <c r="B45" s="103" t="s">
        <v>64</v>
      </c>
      <c r="C45" s="104" t="s">
        <v>486</v>
      </c>
      <c r="D45" s="104" t="s">
        <v>487</v>
      </c>
      <c r="E45" s="105">
        <v>15239</v>
      </c>
      <c r="F45" s="106"/>
      <c r="G45" s="105">
        <v>5</v>
      </c>
      <c r="H45" s="114">
        <v>1000</v>
      </c>
      <c r="I45" s="113">
        <v>7.5</v>
      </c>
      <c r="J45" s="108">
        <v>1.1000000000000001</v>
      </c>
      <c r="K45" s="104" t="s">
        <v>415</v>
      </c>
      <c r="L45" s="106">
        <v>6</v>
      </c>
      <c r="M45" s="108"/>
      <c r="N45" s="109">
        <f>IF(Operations!$E45&gt;1,Operations!$E45,IF(Operations!$D45=0,0,Operations!$F45/(VLOOKUP(Operations!$D45,ImpDepLookup,2,FALSE)-VLOOKUP(Operations!$D45,ImpDepLookup,3,FALSE)*Operations!$G45^0.5-VLOOKUP(Operations!$D45,ImpDepLookup,4,FALSE)*(Operations!$G45*(Operations!$G45*Operations!$H45/Operations!$I45)^0.5))^2))</f>
        <v>15239</v>
      </c>
      <c r="O45" s="110">
        <f>IF(Operations!$C45="",0,(((Operations!$G45+1)*Operations!$H45/Operations!$I45/1000)^VLOOKUP(Operations!$C45,ImpRepairFac[],4,FALSE)-(Operations!$G45*Operations!$H45/Operations!$I45/1000)^VLOOKUP(Operations!$C45,ImpRepairFac[],4,FALSE))*Operations!$N45*VLOOKUP(Operations!$C45,ImpRepairFac[],3,FALSE)/Operations!$H45)</f>
        <v>0.82739143720079156</v>
      </c>
      <c r="P45" s="111">
        <f>IF(Operations!$N45=0,0,Operations!$N45*(VLOOKUP(Operations!$D45,ImpDepLookup,2,FALSE)-VLOOKUP(Operations!$D45,ImpDepLookup,3,FALSE)*Operations!$G45^0.5-VLOOKUP(Operations!$D45,ImpDepLookup,4,FALSE)*(Operations!$G45*Operations!$H45/Operations!$I45)^0.5)^2)</f>
        <v>5932.9502964011344</v>
      </c>
      <c r="Q45" s="111">
        <f>IF(Operations!$N45=0,0,Operations!$N45*(VLOOKUP(Operations!$D45,ImpDepLookup,2,FALSE)-VLOOKUP(Operations!$D45,ImpDepLookup,3,FALSE)*(Operations!$G45+1)^0.5-VLOOKUP(Operations!$D45,ImpDepLookup,4,FALSE)*(Operations!$G45*Operations!$H45/Operations!$I45)^0.5)^2)</f>
        <v>5727.7642200530199</v>
      </c>
      <c r="R45" s="110">
        <f>IF(Operations!$N45=0,0,IF(Operations!$I45*Operations!$H45=0,0,(Operations!$P45-Operations!$Q45)/(Operations!$H45)))</f>
        <v>0.2051860763481145</v>
      </c>
      <c r="S45" s="112">
        <f>IF(Operations!$H45=0,0,Operations!$P45*'General Variables'!$B$9/Operations!$H45)</f>
        <v>0.1186590059280227</v>
      </c>
      <c r="T45" s="112">
        <f>IF(Operations!$H45=0,0,Operations!$P45*'General Variables'!$B$10/Operations!$H45)</f>
        <v>0.2373180118560454</v>
      </c>
      <c r="U45" s="112">
        <f>SUM(Table3[[#This Row],[Depreciation per Unit]:[Opportunity Cost per Unit]])</f>
        <v>0.56116309413218257</v>
      </c>
      <c r="W45" s="57" t="s">
        <v>192</v>
      </c>
      <c r="X45" s="45" t="s">
        <v>184</v>
      </c>
      <c r="Y45" s="46">
        <v>0.06</v>
      </c>
      <c r="Z45" s="46">
        <v>1</v>
      </c>
      <c r="AA45" s="58"/>
    </row>
    <row r="46" spans="1:27" ht="12.75" customHeight="1" x14ac:dyDescent="0.25">
      <c r="A46" s="124" t="s">
        <v>528</v>
      </c>
      <c r="B46" s="103" t="s">
        <v>64</v>
      </c>
      <c r="C46" s="104" t="s">
        <v>314</v>
      </c>
      <c r="D46" s="104" t="s">
        <v>326</v>
      </c>
      <c r="E46" s="105">
        <v>30000</v>
      </c>
      <c r="F46" s="106">
        <v>4500</v>
      </c>
      <c r="G46" s="105">
        <v>5</v>
      </c>
      <c r="H46" s="105">
        <v>1000</v>
      </c>
      <c r="I46" s="113">
        <v>12</v>
      </c>
      <c r="J46" s="108">
        <v>1.1000000000000001</v>
      </c>
      <c r="K46" s="104" t="s">
        <v>416</v>
      </c>
      <c r="L46" s="106">
        <v>5.332019704433498</v>
      </c>
      <c r="M46" s="108"/>
      <c r="N46" s="109">
        <f>IF(Operations!$E46&gt;1,Operations!$E46,IF(Operations!$D46=0,0,Operations!$F46/(VLOOKUP(Operations!$D46,ImpDepLookup,2,FALSE)-VLOOKUP(Operations!$D46,ImpDepLookup,3,FALSE)*Operations!$G46^0.5-VLOOKUP(Operations!$D46,ImpDepLookup,4,FALSE)*(Operations!$G46*(Operations!$G46*Operations!$H46/Operations!$I46)^0.5))^2))</f>
        <v>30000</v>
      </c>
      <c r="O46" s="110">
        <f>IF(Operations!$C46="",0,(((Operations!$G46+1)*Operations!$H46/Operations!$I46/1000)^VLOOKUP(Operations!$C46,ImpRepairFac[],4,FALSE)-(Operations!$G46*Operations!$H46/Operations!$I46/1000)^VLOOKUP(Operations!$C46,ImpRepairFac[],4,FALSE))*Operations!$N46*VLOOKUP(Operations!$C46,ImpRepairFac[],3,FALSE)/Operations!$H46)</f>
        <v>0.36675240740820464</v>
      </c>
      <c r="P46" s="111">
        <f>IF(Operations!$N46=0,0,Operations!$N46*(VLOOKUP(Operations!$D46,ImpDepLookup,2,FALSE)-VLOOKUP(Operations!$D46,ImpDepLookup,3,FALSE)*Operations!$G46^0.5-VLOOKUP(Operations!$D46,ImpDepLookup,4,FALSE)*(Operations!$G46*Operations!$H46/Operations!$I46)^0.5)^2)</f>
        <v>12482.008651514734</v>
      </c>
      <c r="Q46" s="111">
        <f>IF(Operations!$N46=0,0,Operations!$N46*(VLOOKUP(Operations!$D46,ImpDepLookup,2,FALSE)-VLOOKUP(Operations!$D46,ImpDepLookup,3,FALSE)*(Operations!$G46+1)^0.5-VLOOKUP(Operations!$D46,ImpDepLookup,4,FALSE)*(Operations!$G46*Operations!$H46/Operations!$I46)^0.5)^2)</f>
        <v>11589.960618589243</v>
      </c>
      <c r="R46" s="110">
        <f>IF(Operations!$N46=0,0,IF(Operations!$I46*Operations!$H46=0,0,(Operations!$P46-Operations!$Q46)/(Operations!$H46)))</f>
        <v>0.89204803292549151</v>
      </c>
      <c r="S46" s="112">
        <f>IF(Operations!$H46=0,0,Operations!$P46*'General Variables'!$B$9/Operations!$H46)</f>
        <v>0.24964017303029468</v>
      </c>
      <c r="T46" s="112">
        <f>IF(Operations!$H46=0,0,Operations!$P46*'General Variables'!$B$10/Operations!$H46)</f>
        <v>0.49928034606058935</v>
      </c>
      <c r="U46" s="112">
        <f>SUM(Table3[[#This Row],[Depreciation per Unit]:[Opportunity Cost per Unit]])</f>
        <v>1.6409685520163757</v>
      </c>
      <c r="W46" s="59" t="s">
        <v>193</v>
      </c>
      <c r="X46" s="60" t="s">
        <v>184</v>
      </c>
      <c r="Y46" s="61">
        <v>0.02</v>
      </c>
      <c r="Z46" s="61">
        <v>1</v>
      </c>
      <c r="AA46" s="62"/>
    </row>
    <row r="47" spans="1:27" ht="12.75" customHeight="1" x14ac:dyDescent="0.25">
      <c r="A47" s="124" t="s">
        <v>288</v>
      </c>
      <c r="B47" s="103" t="s">
        <v>64</v>
      </c>
      <c r="C47" s="104" t="s">
        <v>314</v>
      </c>
      <c r="D47" s="104" t="s">
        <v>326</v>
      </c>
      <c r="E47" s="120">
        <v>30000</v>
      </c>
      <c r="F47" s="106"/>
      <c r="G47" s="105">
        <v>5</v>
      </c>
      <c r="H47" s="105">
        <v>1500</v>
      </c>
      <c r="I47" s="115">
        <v>10</v>
      </c>
      <c r="J47" s="108">
        <v>1</v>
      </c>
      <c r="K47" s="104" t="s">
        <v>416</v>
      </c>
      <c r="L47" s="106">
        <v>5.332019704433498</v>
      </c>
      <c r="M47" s="108"/>
      <c r="N47" s="109">
        <f>IF(Operations!$E47&gt;1,Operations!$E47,IF(Operations!$D47=0,0,Operations!$F47/(VLOOKUP(Operations!$D47,ImpDepLookup,2,FALSE)-VLOOKUP(Operations!$D47,ImpDepLookup,3,FALSE)*Operations!$G47^0.5-VLOOKUP(Operations!$D47,ImpDepLookup,4,FALSE)*(Operations!$G47*(Operations!$G47*Operations!$H47/Operations!$I47)^0.5))^2))</f>
        <v>30000</v>
      </c>
      <c r="O47" s="110">
        <f>IF(Operations!$C47="",0,(((Operations!$G47+1)*Operations!$H47/Operations!$I47/1000)^VLOOKUP(Operations!$C47,ImpRepairFac[],4,FALSE)-(Operations!$G47*Operations!$H47/Operations!$I47/1000)^VLOOKUP(Operations!$C47,ImpRepairFac[],4,FALSE))*Operations!$N47*VLOOKUP(Operations!$C47,ImpRepairFac[],3,FALSE)/Operations!$H47)</f>
        <v>0.89100722459063009</v>
      </c>
      <c r="P47" s="111">
        <f>IF(Operations!$N47=0,0,Operations!$N47*(VLOOKUP(Operations!$D47,ImpDepLookup,2,FALSE)-VLOOKUP(Operations!$D47,ImpDepLookup,3,FALSE)*Operations!$G47^0.5-VLOOKUP(Operations!$D47,ImpDepLookup,4,FALSE)*(Operations!$G47*Operations!$H47/Operations!$I47)^0.5)^2)</f>
        <v>12482.008651514734</v>
      </c>
      <c r="Q47" s="111">
        <f>IF(Operations!$N47=0,0,Operations!$N47*(VLOOKUP(Operations!$D47,ImpDepLookup,2,FALSE)-VLOOKUP(Operations!$D47,ImpDepLookup,3,FALSE)*(Operations!$G47+1)^0.5-VLOOKUP(Operations!$D47,ImpDepLookup,4,FALSE)*(Operations!$G47*Operations!$H47/Operations!$I47)^0.5)^2)</f>
        <v>11589.960618589243</v>
      </c>
      <c r="R47" s="110">
        <f>IF(Operations!$N47=0,0,IF(Operations!$I47*Operations!$H47=0,0,(Operations!$P47-Operations!$Q47)/(Operations!$H47)))</f>
        <v>0.59469868861699438</v>
      </c>
      <c r="S47" s="112">
        <f>IF(Operations!$H47=0,0,Operations!$P47*'General Variables'!$B$9/Operations!$H47)</f>
        <v>0.16642678202019645</v>
      </c>
      <c r="T47" s="112">
        <f>IF(Operations!$H47=0,0,Operations!$P47*'General Variables'!$B$10/Operations!$H47)</f>
        <v>0.3328535640403929</v>
      </c>
      <c r="U47" s="112">
        <f>SUM(Table3[[#This Row],[Depreciation per Unit]:[Opportunity Cost per Unit]])</f>
        <v>1.0939790346775837</v>
      </c>
      <c r="W47" s="57" t="s">
        <v>194</v>
      </c>
      <c r="X47" s="45" t="s">
        <v>184</v>
      </c>
      <c r="Y47" s="46">
        <v>0.01</v>
      </c>
      <c r="Z47" s="46">
        <v>1</v>
      </c>
      <c r="AA47" s="58"/>
    </row>
    <row r="48" spans="1:27" ht="12.75" customHeight="1" x14ac:dyDescent="0.25">
      <c r="A48" s="124" t="s">
        <v>570</v>
      </c>
      <c r="B48" s="103" t="s">
        <v>64</v>
      </c>
      <c r="C48" s="104" t="s">
        <v>320</v>
      </c>
      <c r="D48" s="104" t="s">
        <v>326</v>
      </c>
      <c r="E48" s="120">
        <v>77828</v>
      </c>
      <c r="F48" s="106"/>
      <c r="G48" s="105">
        <v>5</v>
      </c>
      <c r="H48" s="105">
        <v>1500</v>
      </c>
      <c r="I48" s="113">
        <v>10</v>
      </c>
      <c r="J48" s="108">
        <v>1.2</v>
      </c>
      <c r="K48" s="104" t="s">
        <v>416</v>
      </c>
      <c r="L48" s="106">
        <v>3.41</v>
      </c>
      <c r="M48" s="108"/>
      <c r="N48" s="109">
        <f>IF(Operations!$E48&gt;1,Operations!$E48,IF(Operations!$D48=0,0,Operations!$F48/(VLOOKUP(Operations!$D48,ImpDepLookup,2,FALSE)-VLOOKUP(Operations!$D48,ImpDepLookup,3,FALSE)*Operations!$G48^0.5-VLOOKUP(Operations!$D48,ImpDepLookup,4,FALSE)*(Operations!$G48*(Operations!$G48*Operations!$H48/Operations!$I48)^0.5))^2))</f>
        <v>77828</v>
      </c>
      <c r="O48" s="110">
        <f>IF(Operations!$C48="",0,(((Operations!$G48+1)*Operations!$H48/Operations!$I48/1000)^VLOOKUP(Operations!$C48,ImpRepairFac[],4,FALSE)-(Operations!$G48*Operations!$H48/Operations!$I48/1000)^VLOOKUP(Operations!$C48,ImpRepairFac[],4,FALSE))*Operations!$N48*VLOOKUP(Operations!$C48,ImpRepairFac[],3,FALSE)/Operations!$H48)</f>
        <v>4.2332150404418654</v>
      </c>
      <c r="P48" s="111">
        <f>IF(Operations!$N48=0,0,Operations!$N48*(VLOOKUP(Operations!$D48,ImpDepLookup,2,FALSE)-VLOOKUP(Operations!$D48,ImpDepLookup,3,FALSE)*Operations!$G48^0.5-VLOOKUP(Operations!$D48,ImpDepLookup,4,FALSE)*(Operations!$G48*Operations!$H48/Operations!$I48)^0.5)^2)</f>
        <v>32381.658977669624</v>
      </c>
      <c r="Q48" s="111">
        <f>IF(Operations!$N48=0,0,Operations!$N48*(VLOOKUP(Operations!$D48,ImpDepLookup,2,FALSE)-VLOOKUP(Operations!$D48,ImpDepLookup,3,FALSE)*(Operations!$G48+1)^0.5-VLOOKUP(Operations!$D48,ImpDepLookup,4,FALSE)*(Operations!$G48*Operations!$H48/Operations!$I48)^0.5)^2)</f>
        <v>30067.448500785453</v>
      </c>
      <c r="R48" s="110">
        <f>IF(Operations!$N48=0,0,IF(Operations!$I48*Operations!$H48=0,0,(Operations!$P48-Operations!$Q48)/(Operations!$H48)))</f>
        <v>1.5428069845894472</v>
      </c>
      <c r="S48" s="112">
        <f>IF(Operations!$H48=0,0,Operations!$P48*'General Variables'!$B$9/Operations!$H48)</f>
        <v>0.43175545303559498</v>
      </c>
      <c r="T48" s="112">
        <f>IF(Operations!$H48=0,0,Operations!$P48*'General Variables'!$B$10/Operations!$H48)</f>
        <v>0.86351090607118997</v>
      </c>
      <c r="U48" s="112">
        <f>SUM(Table3[[#This Row],[Depreciation per Unit]:[Opportunity Cost per Unit]])</f>
        <v>2.838073343696232</v>
      </c>
      <c r="W48" s="57" t="s">
        <v>195</v>
      </c>
      <c r="X48" s="45" t="s">
        <v>184</v>
      </c>
      <c r="Y48" s="46">
        <v>0.03</v>
      </c>
      <c r="Z48" s="46">
        <v>1</v>
      </c>
      <c r="AA48" s="58"/>
    </row>
    <row r="49" spans="1:21" ht="12.75" customHeight="1" x14ac:dyDescent="0.2">
      <c r="A49" s="124" t="s">
        <v>289</v>
      </c>
      <c r="B49" s="103" t="s">
        <v>64</v>
      </c>
      <c r="C49" s="104" t="s">
        <v>321</v>
      </c>
      <c r="D49" s="104" t="s">
        <v>326</v>
      </c>
      <c r="E49" s="105"/>
      <c r="F49" s="106">
        <v>7500</v>
      </c>
      <c r="G49" s="105">
        <v>5</v>
      </c>
      <c r="H49" s="105">
        <v>1000</v>
      </c>
      <c r="I49" s="113">
        <v>13.200000000000001</v>
      </c>
      <c r="J49" s="108">
        <v>1</v>
      </c>
      <c r="K49" s="104" t="s">
        <v>416</v>
      </c>
      <c r="L49" s="106">
        <v>5.346000000000001</v>
      </c>
      <c r="M49" s="108"/>
      <c r="N49" s="109">
        <f>IF(Operations!$E49&gt;1,Operations!$E49,IF(Operations!$D49=0,0,Operations!$F49/(VLOOKUP(Operations!$D49,ImpDepLookup,2,FALSE)-VLOOKUP(Operations!$D49,ImpDepLookup,3,FALSE)*Operations!$G49^0.5-VLOOKUP(Operations!$D49,ImpDepLookup,4,FALSE)*(Operations!$G49*(Operations!$G49*Operations!$H49/Operations!$I49)^0.5))^2))</f>
        <v>18025.944884495453</v>
      </c>
      <c r="O49" s="110">
        <f>IF(Operations!$C49="",0,(((Operations!$G49+1)*Operations!$H49/Operations!$I49/1000)^VLOOKUP(Operations!$C49,ImpRepairFac[],4,FALSE)-(Operations!$G49*Operations!$H49/Operations!$I49/1000)^VLOOKUP(Operations!$C49,ImpRepairFac[],4,FALSE))*Operations!$N49*VLOOKUP(Operations!$C49,ImpRepairFac[],3,FALSE)/Operations!$H49)</f>
        <v>0.2263455021013793</v>
      </c>
      <c r="P49" s="111">
        <f>IF(Operations!$N49=0,0,Operations!$N49*(VLOOKUP(Operations!$D49,ImpDepLookup,2,FALSE)-VLOOKUP(Operations!$D49,ImpDepLookup,3,FALSE)*Operations!$G49^0.5-VLOOKUP(Operations!$D49,ImpDepLookup,4,FALSE)*(Operations!$G49*Operations!$H49/Operations!$I49)^0.5)^2)</f>
        <v>7500</v>
      </c>
      <c r="Q49" s="111">
        <f>IF(Operations!$N49=0,0,Operations!$N49*(VLOOKUP(Operations!$D49,ImpDepLookup,2,FALSE)-VLOOKUP(Operations!$D49,ImpDepLookup,3,FALSE)*(Operations!$G49+1)^0.5-VLOOKUP(Operations!$D49,ImpDepLookup,4,FALSE)*(Operations!$G49*Operations!$H49/Operations!$I49)^0.5)^2)</f>
        <v>6963.9997108054176</v>
      </c>
      <c r="R49" s="110">
        <f>IF(Operations!$N49=0,0,IF(Operations!$I49*Operations!$H49=0,0,(Operations!$P49-Operations!$Q49)/(Operations!$H49)))</f>
        <v>0.53600028919458231</v>
      </c>
      <c r="S49" s="112">
        <f>IF(Operations!$H49=0,0,Operations!$P49*'General Variables'!$B$9/Operations!$H49)</f>
        <v>0.15</v>
      </c>
      <c r="T49" s="112">
        <f>IF(Operations!$H49=0,0,Operations!$P49*'General Variables'!$B$10/Operations!$H49)</f>
        <v>0.3</v>
      </c>
      <c r="U49" s="112">
        <f>SUM(Table3[[#This Row],[Depreciation per Unit]:[Opportunity Cost per Unit]])</f>
        <v>0.98600028919458227</v>
      </c>
    </row>
    <row r="50" spans="1:21" ht="12.75" customHeight="1" x14ac:dyDescent="0.2">
      <c r="A50" s="124" t="s">
        <v>499</v>
      </c>
      <c r="B50" s="103" t="s">
        <v>64</v>
      </c>
      <c r="C50" s="104" t="s">
        <v>321</v>
      </c>
      <c r="D50" s="104" t="s">
        <v>326</v>
      </c>
      <c r="E50" s="105"/>
      <c r="F50" s="106">
        <v>7500</v>
      </c>
      <c r="G50" s="105">
        <v>5</v>
      </c>
      <c r="H50" s="105">
        <v>1000</v>
      </c>
      <c r="I50" s="113">
        <v>13.200000000000001</v>
      </c>
      <c r="J50" s="108">
        <v>1.2</v>
      </c>
      <c r="K50" s="104" t="s">
        <v>416</v>
      </c>
      <c r="L50" s="106">
        <v>5.346000000000001</v>
      </c>
      <c r="M50" s="108"/>
      <c r="N50" s="109">
        <f>IF(Operations!$E50&gt;1,Operations!$E50,IF(Operations!$D50=0,0,Operations!$F50/(VLOOKUP(Operations!$D50,ImpDepLookup,2,FALSE)-VLOOKUP(Operations!$D50,ImpDepLookup,3,FALSE)*Operations!$G50^0.5-VLOOKUP(Operations!$D50,ImpDepLookup,4,FALSE)*(Operations!$G50*(Operations!$G50*Operations!$H50/Operations!$I50)^0.5))^2))</f>
        <v>18025.944884495453</v>
      </c>
      <c r="O50" s="110">
        <f>IF(Operations!$C50="",0,(((Operations!$G50+1)*Operations!$H50/Operations!$I50/1000)^VLOOKUP(Operations!$C50,ImpRepairFac[],4,FALSE)-(Operations!$G50*Operations!$H50/Operations!$I50/1000)^VLOOKUP(Operations!$C50,ImpRepairFac[],4,FALSE))*Operations!$N50*VLOOKUP(Operations!$C50,ImpRepairFac[],3,FALSE)/Operations!$H50)</f>
        <v>0.2263455021013793</v>
      </c>
      <c r="P50" s="111">
        <f>IF(Operations!$N50=0,0,Operations!$N50*(VLOOKUP(Operations!$D50,ImpDepLookup,2,FALSE)-VLOOKUP(Operations!$D50,ImpDepLookup,3,FALSE)*Operations!$G50^0.5-VLOOKUP(Operations!$D50,ImpDepLookup,4,FALSE)*(Operations!$G50*Operations!$H50/Operations!$I50)^0.5)^2)</f>
        <v>7500</v>
      </c>
      <c r="Q50" s="111">
        <f>IF(Operations!$N50=0,0,Operations!$N50*(VLOOKUP(Operations!$D50,ImpDepLookup,2,FALSE)-VLOOKUP(Operations!$D50,ImpDepLookup,3,FALSE)*(Operations!$G50+1)^0.5-VLOOKUP(Operations!$D50,ImpDepLookup,4,FALSE)*(Operations!$G50*Operations!$H50/Operations!$I50)^0.5)^2)</f>
        <v>6963.9997108054176</v>
      </c>
      <c r="R50" s="110">
        <f>IF(Operations!$N50=0,0,IF(Operations!$I50*Operations!$H50=0,0,(Operations!$P50-Operations!$Q50)/(Operations!$H50)))</f>
        <v>0.53600028919458231</v>
      </c>
      <c r="S50" s="112">
        <f>IF(Operations!$H50=0,0,Operations!$P50*'General Variables'!$B$9/Operations!$H50)</f>
        <v>0.15</v>
      </c>
      <c r="T50" s="112">
        <f>IF(Operations!$H50=0,0,Operations!$P50*'General Variables'!$B$10/Operations!$H50)</f>
        <v>0.3</v>
      </c>
      <c r="U50" s="112">
        <f>SUM(Table3[[#This Row],[Depreciation per Unit]:[Opportunity Cost per Unit]])</f>
        <v>0.98600028919458227</v>
      </c>
    </row>
    <row r="51" spans="1:21" ht="12.75" customHeight="1" x14ac:dyDescent="0.2">
      <c r="A51" s="124" t="s">
        <v>290</v>
      </c>
      <c r="B51" s="103" t="s">
        <v>64</v>
      </c>
      <c r="C51" s="104" t="s">
        <v>312</v>
      </c>
      <c r="D51" s="104" t="s">
        <v>326</v>
      </c>
      <c r="E51" s="105"/>
      <c r="F51" s="106"/>
      <c r="G51" s="105">
        <v>5</v>
      </c>
      <c r="H51" s="105">
        <v>300</v>
      </c>
      <c r="I51" s="115">
        <v>9</v>
      </c>
      <c r="J51" s="108">
        <v>1</v>
      </c>
      <c r="K51" s="104" t="s">
        <v>416</v>
      </c>
      <c r="L51" s="106">
        <v>5.4586466165413539</v>
      </c>
      <c r="M51" s="108"/>
      <c r="N51" s="109">
        <f>IF(Operations!$E51&gt;1,Operations!$E51,IF(Operations!$D51=0,0,Operations!$F51/(VLOOKUP(Operations!$D51,ImpDepLookup,2,FALSE)-VLOOKUP(Operations!$D51,ImpDepLookup,3,FALSE)*Operations!$G51^0.5-VLOOKUP(Operations!$D51,ImpDepLookup,4,FALSE)*(Operations!$G51*(Operations!$G51*Operations!$H51/Operations!$I51)^0.5))^2))</f>
        <v>0</v>
      </c>
      <c r="O51" s="110">
        <f>IF(Operations!$C51="",0,(((Operations!$G51+1)*Operations!$H51/Operations!$I51/1000)^VLOOKUP(Operations!$C51,ImpRepairFac[],4,FALSE)-(Operations!$G51*Operations!$H51/Operations!$I51/1000)^VLOOKUP(Operations!$C51,ImpRepairFac[],4,FALSE))*Operations!$N51*VLOOKUP(Operations!$C51,ImpRepairFac[],3,FALSE)/Operations!$H51)</f>
        <v>0</v>
      </c>
      <c r="P51" s="111">
        <f>IF(Operations!$N51=0,0,Operations!$N51*(VLOOKUP(Operations!$D51,ImpDepLookup,2,FALSE)-VLOOKUP(Operations!$D51,ImpDepLookup,3,FALSE)*Operations!$G51^0.5-VLOOKUP(Operations!$D51,ImpDepLookup,4,FALSE)*(Operations!$G51*Operations!$H51/Operations!$I51)^0.5)^2)</f>
        <v>0</v>
      </c>
      <c r="Q51" s="111">
        <f>IF(Operations!$N51=0,0,Operations!$N51*(VLOOKUP(Operations!$D51,ImpDepLookup,2,FALSE)-VLOOKUP(Operations!$D51,ImpDepLookup,3,FALSE)*(Operations!$G51+1)^0.5-VLOOKUP(Operations!$D51,ImpDepLookup,4,FALSE)*(Operations!$G51*Operations!$H51/Operations!$I51)^0.5)^2)</f>
        <v>0</v>
      </c>
      <c r="R51" s="110">
        <f>IF(Operations!$N51=0,0,IF(Operations!$I51*Operations!$H51=0,0,(Operations!$P51-Operations!$Q51)/(Operations!$H51)))</f>
        <v>0</v>
      </c>
      <c r="S51" s="112">
        <f>IF(Operations!$H51=0,0,Operations!$P51*'General Variables'!$B$9/Operations!$H51)</f>
        <v>0</v>
      </c>
      <c r="T51" s="112">
        <f>IF(Operations!$H51=0,0,Operations!$P51*'General Variables'!$B$10/Operations!$H51)</f>
        <v>0</v>
      </c>
      <c r="U51" s="112">
        <f>SUM(Table3[[#This Row],[Depreciation per Unit]:[Opportunity Cost per Unit]])</f>
        <v>0</v>
      </c>
    </row>
    <row r="52" spans="1:21" ht="12.75" customHeight="1" x14ac:dyDescent="0.2">
      <c r="A52" s="124" t="s">
        <v>485</v>
      </c>
      <c r="B52" s="103" t="s">
        <v>64</v>
      </c>
      <c r="C52" s="104" t="s">
        <v>312</v>
      </c>
      <c r="D52" s="104" t="s">
        <v>326</v>
      </c>
      <c r="E52" s="120">
        <v>30000</v>
      </c>
      <c r="F52" s="106"/>
      <c r="G52" s="105">
        <v>5</v>
      </c>
      <c r="H52" s="105">
        <v>1000</v>
      </c>
      <c r="I52" s="113">
        <v>10</v>
      </c>
      <c r="J52" s="108">
        <v>1</v>
      </c>
      <c r="K52" s="104" t="s">
        <v>416</v>
      </c>
      <c r="L52" s="106">
        <v>5</v>
      </c>
      <c r="M52" s="108"/>
      <c r="N52" s="109">
        <f>IF(Operations!$E52&gt;1,Operations!$E52,IF(Operations!$D52=0,0,Operations!$F52/(VLOOKUP(Operations!$D52,ImpDepLookup,2,FALSE)-VLOOKUP(Operations!$D52,ImpDepLookup,3,FALSE)*Operations!$G52^0.5-VLOOKUP(Operations!$D52,ImpDepLookup,4,FALSE)*(Operations!$G52*(Operations!$G52*Operations!$H52/Operations!$I52)^0.5))^2))</f>
        <v>30000</v>
      </c>
      <c r="O52" s="110">
        <f>IF(Operations!$C52="",0,(((Operations!$G52+1)*Operations!$H52/Operations!$I52/1000)^VLOOKUP(Operations!$C52,ImpRepairFac[],4,FALSE)-(Operations!$G52*Operations!$H52/Operations!$I52/1000)^VLOOKUP(Operations!$C52,ImpRepairFac[],4,FALSE))*Operations!$N52*VLOOKUP(Operations!$C52,ImpRepairFac[],3,FALSE)/Operations!$H52)</f>
        <v>0.52139578602402825</v>
      </c>
      <c r="P52" s="111">
        <f>IF(Operations!$N52=0,0,Operations!$N52*(VLOOKUP(Operations!$D52,ImpDepLookup,2,FALSE)-VLOOKUP(Operations!$D52,ImpDepLookup,3,FALSE)*Operations!$G52^0.5-VLOOKUP(Operations!$D52,ImpDepLookup,4,FALSE)*(Operations!$G52*Operations!$H52/Operations!$I52)^0.5)^2)</f>
        <v>12482.008651514734</v>
      </c>
      <c r="Q52" s="111">
        <f>IF(Operations!$N52=0,0,Operations!$N52*(VLOOKUP(Operations!$D52,ImpDepLookup,2,FALSE)-VLOOKUP(Operations!$D52,ImpDepLookup,3,FALSE)*(Operations!$G52+1)^0.5-VLOOKUP(Operations!$D52,ImpDepLookup,4,FALSE)*(Operations!$G52*Operations!$H52/Operations!$I52)^0.5)^2)</f>
        <v>11589.960618589243</v>
      </c>
      <c r="R52" s="110">
        <f>IF(Operations!$N52=0,0,IF(Operations!$I52*Operations!$H52=0,0,(Operations!$P52-Operations!$Q52)/(Operations!$H52)))</f>
        <v>0.89204803292549151</v>
      </c>
      <c r="S52" s="112">
        <f>IF(Operations!$H52=0,0,Operations!$P52*'General Variables'!$B$9/Operations!$H52)</f>
        <v>0.24964017303029468</v>
      </c>
      <c r="T52" s="112">
        <f>IF(Operations!$H52=0,0,Operations!$P52*'General Variables'!$B$10/Operations!$H52)</f>
        <v>0.49928034606058935</v>
      </c>
      <c r="U52" s="112">
        <f>SUM(Table3[[#This Row],[Depreciation per Unit]:[Opportunity Cost per Unit]])</f>
        <v>1.6409685520163757</v>
      </c>
    </row>
    <row r="53" spans="1:21" ht="12.75" customHeight="1" x14ac:dyDescent="0.2">
      <c r="A53" s="124" t="s">
        <v>541</v>
      </c>
      <c r="B53" s="103" t="s">
        <v>64</v>
      </c>
      <c r="C53" s="104" t="s">
        <v>315</v>
      </c>
      <c r="D53" s="104" t="s">
        <v>326</v>
      </c>
      <c r="E53" s="105">
        <v>25000</v>
      </c>
      <c r="F53" s="106">
        <v>3000</v>
      </c>
      <c r="G53" s="105">
        <v>5</v>
      </c>
      <c r="H53" s="105">
        <v>1000</v>
      </c>
      <c r="I53" s="113">
        <v>14.666666666666668</v>
      </c>
      <c r="J53" s="108">
        <v>1.1000000000000001</v>
      </c>
      <c r="K53" s="104" t="s">
        <v>416</v>
      </c>
      <c r="L53" s="106">
        <v>3.666666666666667</v>
      </c>
      <c r="M53" s="108"/>
      <c r="N53" s="109">
        <f>IF(Operations!$E53&gt;1,Operations!$E53,IF(Operations!$D53=0,0,Operations!$F53/(VLOOKUP(Operations!$D53,ImpDepLookup,2,FALSE)-VLOOKUP(Operations!$D53,ImpDepLookup,3,FALSE)*Operations!$G53^0.5-VLOOKUP(Operations!$D53,ImpDepLookup,4,FALSE)*(Operations!$G53*(Operations!$G53*Operations!$H53/Operations!$I53)^0.5))^2))</f>
        <v>25000</v>
      </c>
      <c r="O53" s="110">
        <f>IF(Operations!$C53="",0,(((Operations!$G53+1)*Operations!$H53/Operations!$I53/1000)^VLOOKUP(Operations!$C53,ImpRepairFac[],4,FALSE)-(Operations!$G53*Operations!$H53/Operations!$I53/1000)^VLOOKUP(Operations!$C53,ImpRepairFac[],4,FALSE))*Operations!$N53*VLOOKUP(Operations!$C53,ImpRepairFac[],3,FALSE)/Operations!$H53)</f>
        <v>0.37062364748982501</v>
      </c>
      <c r="P53" s="111">
        <f>IF(Operations!$N53=0,0,Operations!$N53*(VLOOKUP(Operations!$D53,ImpDepLookup,2,FALSE)-VLOOKUP(Operations!$D53,ImpDepLookup,3,FALSE)*Operations!$G53^0.5-VLOOKUP(Operations!$D53,ImpDepLookup,4,FALSE)*(Operations!$G53*Operations!$H53/Operations!$I53)^0.5)^2)</f>
        <v>10401.673876262279</v>
      </c>
      <c r="Q53" s="111">
        <f>IF(Operations!$N53=0,0,Operations!$N53*(VLOOKUP(Operations!$D53,ImpDepLookup,2,FALSE)-VLOOKUP(Operations!$D53,ImpDepLookup,3,FALSE)*(Operations!$G53+1)^0.5-VLOOKUP(Operations!$D53,ImpDepLookup,4,FALSE)*(Operations!$G53*Operations!$H53/Operations!$I53)^0.5)^2)</f>
        <v>9658.300515491037</v>
      </c>
      <c r="R53" s="110">
        <f>IF(Operations!$N53=0,0,IF(Operations!$I53*Operations!$H53=0,0,(Operations!$P53-Operations!$Q53)/(Operations!$H53)))</f>
        <v>0.74337336077124205</v>
      </c>
      <c r="S53" s="112">
        <f>IF(Operations!$H53=0,0,Operations!$P53*'General Variables'!$B$9/Operations!$H53)</f>
        <v>0.20803347752524559</v>
      </c>
      <c r="T53" s="112">
        <f>IF(Operations!$H53=0,0,Operations!$P53*'General Variables'!$B$10/Operations!$H53)</f>
        <v>0.41606695505049118</v>
      </c>
      <c r="U53" s="112">
        <f>SUM(Table3[[#This Row],[Depreciation per Unit]:[Opportunity Cost per Unit]])</f>
        <v>1.3674737933469787</v>
      </c>
    </row>
    <row r="54" spans="1:21" ht="12.75" customHeight="1" x14ac:dyDescent="0.2">
      <c r="A54" s="124" t="s">
        <v>291</v>
      </c>
      <c r="B54" s="103" t="s">
        <v>64</v>
      </c>
      <c r="C54" s="104" t="s">
        <v>314</v>
      </c>
      <c r="D54" s="104" t="s">
        <v>326</v>
      </c>
      <c r="E54" s="105">
        <v>30000</v>
      </c>
      <c r="F54" s="106"/>
      <c r="G54" s="105">
        <v>5</v>
      </c>
      <c r="H54" s="105">
        <v>1000</v>
      </c>
      <c r="I54" s="115">
        <v>11</v>
      </c>
      <c r="J54" s="108">
        <v>1.1000000000000001</v>
      </c>
      <c r="K54" s="104" t="s">
        <v>416</v>
      </c>
      <c r="L54" s="106">
        <v>3.5</v>
      </c>
      <c r="M54" s="108"/>
      <c r="N54" s="109">
        <f>IF(Operations!$E54&gt;1,Operations!$E54,IF(Operations!$D54=0,0,Operations!$F54/(VLOOKUP(Operations!$D54,ImpDepLookup,2,FALSE)-VLOOKUP(Operations!$D54,ImpDepLookup,3,FALSE)*Operations!$G54^0.5-VLOOKUP(Operations!$D54,ImpDepLookup,4,FALSE)*(Operations!$G54*(Operations!$G54*Operations!$H54/Operations!$I54)^0.5))^2))</f>
        <v>30000</v>
      </c>
      <c r="O54" s="110">
        <f>IF(Operations!$C54="",0,(((Operations!$G54+1)*Operations!$H54/Operations!$I54/1000)^VLOOKUP(Operations!$C54,ImpRepairFac[],4,FALSE)-(Operations!$G54*Operations!$H54/Operations!$I54/1000)^VLOOKUP(Operations!$C54,ImpRepairFac[],4,FALSE))*Operations!$N54*VLOOKUP(Operations!$C54,ImpRepairFac[],3,FALSE)/Operations!$H54)</f>
        <v>0.44412764530716886</v>
      </c>
      <c r="P54" s="111">
        <f>IF(Operations!$N54=0,0,Operations!$N54*(VLOOKUP(Operations!$D54,ImpDepLookup,2,FALSE)-VLOOKUP(Operations!$D54,ImpDepLookup,3,FALSE)*Operations!$G54^0.5-VLOOKUP(Operations!$D54,ImpDepLookup,4,FALSE)*(Operations!$G54*Operations!$H54/Operations!$I54)^0.5)^2)</f>
        <v>12482.008651514734</v>
      </c>
      <c r="Q54" s="111">
        <f>IF(Operations!$N54=0,0,Operations!$N54*(VLOOKUP(Operations!$D54,ImpDepLookup,2,FALSE)-VLOOKUP(Operations!$D54,ImpDepLookup,3,FALSE)*(Operations!$G54+1)^0.5-VLOOKUP(Operations!$D54,ImpDepLookup,4,FALSE)*(Operations!$G54*Operations!$H54/Operations!$I54)^0.5)^2)</f>
        <v>11589.960618589243</v>
      </c>
      <c r="R54" s="110">
        <f>IF(Operations!$N54=0,0,IF(Operations!$I54*Operations!$H54=0,0,(Operations!$P54-Operations!$Q54)/(Operations!$H54)))</f>
        <v>0.89204803292549151</v>
      </c>
      <c r="S54" s="112">
        <f>IF(Operations!$H54=0,0,Operations!$P54*'General Variables'!$B$9/Operations!$H54)</f>
        <v>0.24964017303029468</v>
      </c>
      <c r="T54" s="112">
        <f>IF(Operations!$H54=0,0,Operations!$P54*'General Variables'!$B$10/Operations!$H54)</f>
        <v>0.49928034606058935</v>
      </c>
      <c r="U54" s="112">
        <f>SUM(Table3[[#This Row],[Depreciation per Unit]:[Opportunity Cost per Unit]])</f>
        <v>1.6409685520163757</v>
      </c>
    </row>
    <row r="55" spans="1:21" ht="12.75" customHeight="1" x14ac:dyDescent="0.2">
      <c r="A55" s="124" t="s">
        <v>292</v>
      </c>
      <c r="B55" s="103" t="s">
        <v>64</v>
      </c>
      <c r="C55" s="103" t="s">
        <v>311</v>
      </c>
      <c r="D55" s="103" t="s">
        <v>328</v>
      </c>
      <c r="E55" s="120">
        <v>62545</v>
      </c>
      <c r="F55" s="106"/>
      <c r="G55" s="105">
        <v>5</v>
      </c>
      <c r="H55" s="105">
        <v>1000</v>
      </c>
      <c r="I55" s="113">
        <v>8</v>
      </c>
      <c r="J55" s="108">
        <v>1.2</v>
      </c>
      <c r="K55" s="104" t="s">
        <v>416</v>
      </c>
      <c r="L55" s="106">
        <v>4.2936802973977706</v>
      </c>
      <c r="M55" s="108"/>
      <c r="N55" s="109">
        <f>IF(Operations!$E55&gt;1,Operations!$E55,IF(Operations!$D55=0,0,Operations!$F55/(VLOOKUP(Operations!$D55,ImpDepLookup,2,FALSE)-VLOOKUP(Operations!$D55,ImpDepLookup,3,FALSE)*Operations!$G55^0.5-VLOOKUP(Operations!$D55,ImpDepLookup,4,FALSE)*(Operations!$G55*(Operations!$G55*Operations!$H55/Operations!$I55)^0.5))^2))</f>
        <v>62545</v>
      </c>
      <c r="O55" s="110">
        <f>IF(Operations!$C55="",0,(((Operations!$G55+1)*Operations!$H55/Operations!$I55/1000)^VLOOKUP(Operations!$C55,ImpRepairFac[],4,FALSE)-(Operations!$G55*Operations!$H55/Operations!$I55/1000)^VLOOKUP(Operations!$C55,ImpRepairFac[],4,FALSE))*Operations!$N55*VLOOKUP(Operations!$C55,ImpRepairFac[],3,FALSE)/Operations!$H55)</f>
        <v>3.4796671202192933</v>
      </c>
      <c r="P55" s="111">
        <f>IF(Operations!$N55=0,0,Operations!$N55*(VLOOKUP(Operations!$D55,ImpDepLookup,2,FALSE)-VLOOKUP(Operations!$D55,ImpDepLookup,3,FALSE)*Operations!$G55^0.5-VLOOKUP(Operations!$D55,ImpDepLookup,4,FALSE)*(Operations!$G55*Operations!$H55/Operations!$I55)^0.5)^2)</f>
        <v>31403.538544580526</v>
      </c>
      <c r="Q55" s="111">
        <f>IF(Operations!$N55=0,0,Operations!$N55*(VLOOKUP(Operations!$D55,ImpDepLookup,2,FALSE)-VLOOKUP(Operations!$D55,ImpDepLookup,3,FALSE)*(Operations!$G55+1)^0.5-VLOOKUP(Operations!$D55,ImpDepLookup,4,FALSE)*(Operations!$G55*Operations!$H55/Operations!$I55)^0.5)^2)</f>
        <v>29945.338062854924</v>
      </c>
      <c r="R55" s="110">
        <f>IF(Operations!$N55=0,0,IF(Operations!$I55*Operations!$H55=0,0,(Operations!$P55-Operations!$Q55)/(Operations!$H55)))</f>
        <v>1.458200481725602</v>
      </c>
      <c r="S55" s="112">
        <f>IF(Operations!$H55=0,0,Operations!$P55*'General Variables'!$B$9/Operations!$H55)</f>
        <v>0.62807077089161056</v>
      </c>
      <c r="T55" s="112">
        <f>IF(Operations!$H55=0,0,Operations!$P55*'General Variables'!$B$10/Operations!$H55)</f>
        <v>1.2561415417832211</v>
      </c>
      <c r="U55" s="112">
        <f>SUM(Table3[[#This Row],[Depreciation per Unit]:[Opportunity Cost per Unit]])</f>
        <v>3.3424127944004338</v>
      </c>
    </row>
    <row r="56" spans="1:21" ht="12.75" customHeight="1" x14ac:dyDescent="0.2">
      <c r="A56" s="124" t="s">
        <v>51</v>
      </c>
      <c r="B56" s="103" t="s">
        <v>64</v>
      </c>
      <c r="C56" s="104" t="s">
        <v>323</v>
      </c>
      <c r="D56" s="104" t="s">
        <v>327</v>
      </c>
      <c r="E56" s="105">
        <v>36000</v>
      </c>
      <c r="F56" s="106"/>
      <c r="G56" s="105">
        <v>5</v>
      </c>
      <c r="H56" s="105">
        <v>2500</v>
      </c>
      <c r="I56" s="115">
        <v>25</v>
      </c>
      <c r="J56" s="108">
        <v>1.25</v>
      </c>
      <c r="K56" s="104" t="s">
        <v>416</v>
      </c>
      <c r="L56" s="106">
        <v>2.64</v>
      </c>
      <c r="M56" s="108"/>
      <c r="N56" s="109">
        <f>IF(Operations!$E56&gt;1,Operations!$E56,IF(Operations!$D56=0,0,Operations!$F56/(VLOOKUP(Operations!$D56,ImpDepLookup,2,FALSE)-VLOOKUP(Operations!$D56,ImpDepLookup,3,FALSE)*Operations!$G56^0.5-VLOOKUP(Operations!$D56,ImpDepLookup,4,FALSE)*(Operations!$G56*(Operations!$G56*Operations!$H56/Operations!$I56)^0.5))^2))</f>
        <v>36000</v>
      </c>
      <c r="O56" s="110">
        <f>IF(Operations!$C56="",0,(((Operations!$G56+1)*Operations!$H56/Operations!$I56/1000)^VLOOKUP(Operations!$C56,ImpRepairFac[],4,FALSE)-(Operations!$G56*Operations!$H56/Operations!$I56/1000)^VLOOKUP(Operations!$C56,ImpRepairFac[],4,FALSE))*Operations!$N56*VLOOKUP(Operations!$C56,ImpRepairFac[],3,FALSE)/Operations!$H56)</f>
        <v>0.64131681680955466</v>
      </c>
      <c r="P56" s="111">
        <f>IF(Operations!$N56=0,0,Operations!$N56*(VLOOKUP(Operations!$D56,ImpDepLookup,2,FALSE)-VLOOKUP(Operations!$D56,ImpDepLookup,3,FALSE)*Operations!$G56^0.5-VLOOKUP(Operations!$D56,ImpDepLookup,4,FALSE)*(Operations!$G56*Operations!$H56/Operations!$I56)^0.5)^2)</f>
        <v>17378.716074563839</v>
      </c>
      <c r="Q56" s="111">
        <f>IF(Operations!$N56=0,0,Operations!$N56*(VLOOKUP(Operations!$D56,ImpDepLookup,2,FALSE)-VLOOKUP(Operations!$D56,ImpDepLookup,3,FALSE)*(Operations!$G56+1)^0.5-VLOOKUP(Operations!$D56,ImpDepLookup,4,FALSE)*(Operations!$G56*Operations!$H56/Operations!$I56)^0.5)^2)</f>
        <v>16213.82833106326</v>
      </c>
      <c r="R56" s="110">
        <f>IF(Operations!$N56=0,0,IF(Operations!$I56*Operations!$H56=0,0,(Operations!$P56-Operations!$Q56)/(Operations!$H56)))</f>
        <v>0.46595509740023189</v>
      </c>
      <c r="S56" s="112">
        <f>IF(Operations!$H56=0,0,Operations!$P56*'General Variables'!$B$9/Operations!$H56)</f>
        <v>0.13902972859651072</v>
      </c>
      <c r="T56" s="112">
        <f>IF(Operations!$H56=0,0,Operations!$P56*'General Variables'!$B$10/Operations!$H56)</f>
        <v>0.27805945719302144</v>
      </c>
      <c r="U56" s="112">
        <f>SUM(Table3[[#This Row],[Depreciation per Unit]:[Opportunity Cost per Unit]])</f>
        <v>0.88304428318976402</v>
      </c>
    </row>
    <row r="57" spans="1:21" ht="12.75" customHeight="1" x14ac:dyDescent="0.2">
      <c r="A57" s="124" t="s">
        <v>488</v>
      </c>
      <c r="B57" s="103" t="s">
        <v>64</v>
      </c>
      <c r="C57" s="104" t="s">
        <v>323</v>
      </c>
      <c r="D57" s="104" t="s">
        <v>327</v>
      </c>
      <c r="E57" s="105">
        <v>36000</v>
      </c>
      <c r="F57" s="106"/>
      <c r="G57" s="105">
        <v>5</v>
      </c>
      <c r="H57" s="105">
        <v>2500</v>
      </c>
      <c r="I57" s="115">
        <v>25</v>
      </c>
      <c r="J57" s="108">
        <v>1.25</v>
      </c>
      <c r="K57" s="104" t="s">
        <v>416</v>
      </c>
      <c r="L57" s="106">
        <v>2.64</v>
      </c>
      <c r="M57" s="108"/>
      <c r="N57" s="109">
        <f>IF(Operations!$E57&gt;1,Operations!$E57,IF(Operations!$D57=0,0,Operations!$F57/(VLOOKUP(Operations!$D57,ImpDepLookup,2,FALSE)-VLOOKUP(Operations!$D57,ImpDepLookup,3,FALSE)*Operations!$G57^0.5-VLOOKUP(Operations!$D57,ImpDepLookup,4,FALSE)*(Operations!$G57*(Operations!$G57*Operations!$H57/Operations!$I57)^0.5))^2))</f>
        <v>36000</v>
      </c>
      <c r="O57" s="110">
        <f>IF(Operations!$C57="",0,(((Operations!$G57+1)*Operations!$H57/Operations!$I57/1000)^VLOOKUP(Operations!$C57,ImpRepairFac[],4,FALSE)-(Operations!$G57*Operations!$H57/Operations!$I57/1000)^VLOOKUP(Operations!$C57,ImpRepairFac[],4,FALSE))*Operations!$N57*VLOOKUP(Operations!$C57,ImpRepairFac[],3,FALSE)/Operations!$H57)</f>
        <v>0.64131681680955466</v>
      </c>
      <c r="P57" s="111">
        <f>IF(Operations!$N57=0,0,Operations!$N57*(VLOOKUP(Operations!$D57,ImpDepLookup,2,FALSE)-VLOOKUP(Operations!$D57,ImpDepLookup,3,FALSE)*Operations!$G57^0.5-VLOOKUP(Operations!$D57,ImpDepLookup,4,FALSE)*(Operations!$G57*Operations!$H57/Operations!$I57)^0.5)^2)</f>
        <v>17378.716074563839</v>
      </c>
      <c r="Q57" s="111">
        <f>IF(Operations!$N57=0,0,Operations!$N57*(VLOOKUP(Operations!$D57,ImpDepLookup,2,FALSE)-VLOOKUP(Operations!$D57,ImpDepLookup,3,FALSE)*(Operations!$G57+1)^0.5-VLOOKUP(Operations!$D57,ImpDepLookup,4,FALSE)*(Operations!$G57*Operations!$H57/Operations!$I57)^0.5)^2)</f>
        <v>16213.82833106326</v>
      </c>
      <c r="R57" s="110">
        <f>IF(Operations!$N57=0,0,IF(Operations!$I57*Operations!$H57=0,0,(Operations!$P57-Operations!$Q57)/(Operations!$H57)))</f>
        <v>0.46595509740023189</v>
      </c>
      <c r="S57" s="112">
        <f>IF(Operations!$H57=0,0,Operations!$P57*'General Variables'!$B$9/Operations!$H57)</f>
        <v>0.13902972859651072</v>
      </c>
      <c r="T57" s="112">
        <f>IF(Operations!$H57=0,0,Operations!$P57*'General Variables'!$B$10/Operations!$H57)</f>
        <v>0.27805945719302144</v>
      </c>
      <c r="U57" s="112">
        <f>SUM(Table3[[#This Row],[Depreciation per Unit]:[Opportunity Cost per Unit]])</f>
        <v>0.88304428318976402</v>
      </c>
    </row>
    <row r="58" spans="1:21" ht="12.75" customHeight="1" x14ac:dyDescent="0.2">
      <c r="A58" s="124" t="s">
        <v>500</v>
      </c>
      <c r="B58" s="103" t="s">
        <v>64</v>
      </c>
      <c r="C58" s="104" t="s">
        <v>324</v>
      </c>
      <c r="D58" s="104" t="s">
        <v>327</v>
      </c>
      <c r="E58" s="105">
        <v>36000</v>
      </c>
      <c r="F58" s="106"/>
      <c r="G58" s="105">
        <v>5</v>
      </c>
      <c r="H58" s="105">
        <v>1000</v>
      </c>
      <c r="I58" s="113">
        <v>25</v>
      </c>
      <c r="J58" s="108">
        <v>1.25</v>
      </c>
      <c r="K58" s="104" t="s">
        <v>416</v>
      </c>
      <c r="L58" s="106">
        <v>2.64</v>
      </c>
      <c r="M58" s="108"/>
      <c r="N58" s="109">
        <f>IF(Operations!$E58&gt;1,Operations!$E58,IF(Operations!$D58=0,0,Operations!$F58/(VLOOKUP(Operations!$D58,ImpDepLookup,2,FALSE)-VLOOKUP(Operations!$D58,ImpDepLookup,3,FALSE)*Operations!$G58^0.5-VLOOKUP(Operations!$D58,ImpDepLookup,4,FALSE)*(Operations!$G58*(Operations!$G58*Operations!$H58/Operations!$I58)^0.5))^2))</f>
        <v>36000</v>
      </c>
      <c r="O58" s="110">
        <f>IF(Operations!$C58="",0,(((Operations!$G58+1)*Operations!$H58/Operations!$I58/1000)^VLOOKUP(Operations!$C58,ImpRepairFac[],4,FALSE)-(Operations!$G58*Operations!$H58/Operations!$I58/1000)^VLOOKUP(Operations!$C58,ImpRepairFac[],4,FALSE))*Operations!$N58*VLOOKUP(Operations!$C58,ImpRepairFac[],3,FALSE)/Operations!$H58)</f>
        <v>0.18570443972888567</v>
      </c>
      <c r="P58" s="111">
        <f>IF(Operations!$N58=0,0,Operations!$N58*(VLOOKUP(Operations!$D58,ImpDepLookup,2,FALSE)-VLOOKUP(Operations!$D58,ImpDepLookup,3,FALSE)*Operations!$G58^0.5-VLOOKUP(Operations!$D58,ImpDepLookup,4,FALSE)*(Operations!$G58*Operations!$H58/Operations!$I58)^0.5)^2)</f>
        <v>17378.716074563839</v>
      </c>
      <c r="Q58" s="111">
        <f>IF(Operations!$N58=0,0,Operations!$N58*(VLOOKUP(Operations!$D58,ImpDepLookup,2,FALSE)-VLOOKUP(Operations!$D58,ImpDepLookup,3,FALSE)*(Operations!$G58+1)^0.5-VLOOKUP(Operations!$D58,ImpDepLookup,4,FALSE)*(Operations!$G58*Operations!$H58/Operations!$I58)^0.5)^2)</f>
        <v>16213.82833106326</v>
      </c>
      <c r="R58" s="110">
        <f>IF(Operations!$N58=0,0,IF(Operations!$I58*Operations!$H58=0,0,(Operations!$P58-Operations!$Q58)/(Operations!$H58)))</f>
        <v>1.1648877435005798</v>
      </c>
      <c r="S58" s="112">
        <f>IF(Operations!$H58=0,0,Operations!$P58*'General Variables'!$B$9/Operations!$H58)</f>
        <v>0.34757432149127682</v>
      </c>
      <c r="T58" s="112">
        <f>IF(Operations!$H58=0,0,Operations!$P58*'General Variables'!$B$10/Operations!$H58)</f>
        <v>0.69514864298255363</v>
      </c>
      <c r="U58" s="112">
        <f>SUM(Table3[[#This Row],[Depreciation per Unit]:[Opportunity Cost per Unit]])</f>
        <v>2.2076107079744101</v>
      </c>
    </row>
    <row r="59" spans="1:21" ht="12.75" customHeight="1" x14ac:dyDescent="0.2">
      <c r="A59" s="124" t="s">
        <v>571</v>
      </c>
      <c r="B59" s="103" t="s">
        <v>64</v>
      </c>
      <c r="C59" s="104" t="s">
        <v>324</v>
      </c>
      <c r="D59" s="104" t="s">
        <v>327</v>
      </c>
      <c r="E59" s="105">
        <v>36000</v>
      </c>
      <c r="F59" s="106"/>
      <c r="G59" s="105">
        <v>5</v>
      </c>
      <c r="H59" s="105">
        <v>1000</v>
      </c>
      <c r="I59" s="113">
        <v>25</v>
      </c>
      <c r="J59" s="108">
        <v>1.25</v>
      </c>
      <c r="K59" s="104" t="s">
        <v>416</v>
      </c>
      <c r="L59" s="106">
        <v>2.64</v>
      </c>
      <c r="M59" s="108"/>
      <c r="N59" s="109">
        <f>IF(Operations!$E59&gt;1,Operations!$E59,IF(Operations!$D59=0,0,Operations!$F59/(VLOOKUP(Operations!$D59,ImpDepLookup,2,FALSE)-VLOOKUP(Operations!$D59,ImpDepLookup,3,FALSE)*Operations!$G59^0.5-VLOOKUP(Operations!$D59,ImpDepLookup,4,FALSE)*(Operations!$G59*(Operations!$G59*Operations!$H59/Operations!$I59)^0.5))^2))</f>
        <v>36000</v>
      </c>
      <c r="O59" s="110">
        <f>IF(Operations!$C59="",0,(((Operations!$G59+1)*Operations!$H59/Operations!$I59/1000)^VLOOKUP(Operations!$C59,ImpRepairFac[],4,FALSE)-(Operations!$G59*Operations!$H59/Operations!$I59/1000)^VLOOKUP(Operations!$C59,ImpRepairFac[],4,FALSE))*Operations!$N59*VLOOKUP(Operations!$C59,ImpRepairFac[],3,FALSE)/Operations!$H59)</f>
        <v>0.18570443972888567</v>
      </c>
      <c r="P59" s="111">
        <f>IF(Operations!$N59=0,0,Operations!$N59*(VLOOKUP(Operations!$D59,ImpDepLookup,2,FALSE)-VLOOKUP(Operations!$D59,ImpDepLookup,3,FALSE)*Operations!$G59^0.5-VLOOKUP(Operations!$D59,ImpDepLookup,4,FALSE)*(Operations!$G59*Operations!$H59/Operations!$I59)^0.5)^2)</f>
        <v>17378.716074563839</v>
      </c>
      <c r="Q59" s="111">
        <f>IF(Operations!$N59=0,0,Operations!$N59*(VLOOKUP(Operations!$D59,ImpDepLookup,2,FALSE)-VLOOKUP(Operations!$D59,ImpDepLookup,3,FALSE)*(Operations!$G59+1)^0.5-VLOOKUP(Operations!$D59,ImpDepLookup,4,FALSE)*(Operations!$G59*Operations!$H59/Operations!$I59)^0.5)^2)</f>
        <v>16213.82833106326</v>
      </c>
      <c r="R59" s="110">
        <f>IF(Operations!$N59=0,0,IF(Operations!$I59*Operations!$H59=0,0,(Operations!$P59-Operations!$Q59)/(Operations!$H59)))</f>
        <v>1.1648877435005798</v>
      </c>
      <c r="S59" s="112">
        <f>IF(Operations!$H59=0,0,Operations!$P59*'General Variables'!$B$9/Operations!$H59)</f>
        <v>0.34757432149127682</v>
      </c>
      <c r="T59" s="112">
        <f>IF(Operations!$H59=0,0,Operations!$P59*'General Variables'!$B$10/Operations!$H59)</f>
        <v>0.69514864298255363</v>
      </c>
      <c r="U59" s="112">
        <f>SUM(Table3[[#This Row],[Depreciation per Unit]:[Opportunity Cost per Unit]])</f>
        <v>2.2076107079744101</v>
      </c>
    </row>
    <row r="60" spans="1:21" ht="12.75" customHeight="1" x14ac:dyDescent="0.2">
      <c r="A60" s="124" t="s">
        <v>535</v>
      </c>
      <c r="B60" s="103" t="s">
        <v>64</v>
      </c>
      <c r="C60" s="104" t="s">
        <v>323</v>
      </c>
      <c r="D60" s="104" t="s">
        <v>327</v>
      </c>
      <c r="E60" s="105">
        <v>36000</v>
      </c>
      <c r="F60" s="106"/>
      <c r="G60" s="105">
        <v>5</v>
      </c>
      <c r="H60" s="105">
        <v>2500</v>
      </c>
      <c r="I60" s="115">
        <v>25</v>
      </c>
      <c r="J60" s="108">
        <v>1.25</v>
      </c>
      <c r="K60" s="104" t="s">
        <v>416</v>
      </c>
      <c r="L60" s="106">
        <v>2.64</v>
      </c>
      <c r="M60" s="108"/>
      <c r="N60" s="109">
        <f>IF(Operations!$E60&gt;1,Operations!$E60,IF(Operations!$D60=0,0,Operations!$F60/(VLOOKUP(Operations!$D60,ImpDepLookup,2,FALSE)-VLOOKUP(Operations!$D60,ImpDepLookup,3,FALSE)*Operations!$G60^0.5-VLOOKUP(Operations!$D60,ImpDepLookup,4,FALSE)*(Operations!$G60*(Operations!$G60*Operations!$H60/Operations!$I60)^0.5))^2))</f>
        <v>36000</v>
      </c>
      <c r="O60" s="110">
        <f>IF(Operations!$C60="",0,(((Operations!$G60+1)*Operations!$H60/Operations!$I60/1000)^VLOOKUP(Operations!$C60,ImpRepairFac[],4,FALSE)-(Operations!$G60*Operations!$H60/Operations!$I60/1000)^VLOOKUP(Operations!$C60,ImpRepairFac[],4,FALSE))*Operations!$N60*VLOOKUP(Operations!$C60,ImpRepairFac[],3,FALSE)/Operations!$H60)</f>
        <v>0.64131681680955466</v>
      </c>
      <c r="P60" s="111">
        <f>IF(Operations!$N60=0,0,Operations!$N60*(VLOOKUP(Operations!$D60,ImpDepLookup,2,FALSE)-VLOOKUP(Operations!$D60,ImpDepLookup,3,FALSE)*Operations!$G60^0.5-VLOOKUP(Operations!$D60,ImpDepLookup,4,FALSE)*(Operations!$G60*Operations!$H60/Operations!$I60)^0.5)^2)</f>
        <v>17378.716074563839</v>
      </c>
      <c r="Q60" s="111">
        <f>IF(Operations!$N60=0,0,Operations!$N60*(VLOOKUP(Operations!$D60,ImpDepLookup,2,FALSE)-VLOOKUP(Operations!$D60,ImpDepLookup,3,FALSE)*(Operations!$G60+1)^0.5-VLOOKUP(Operations!$D60,ImpDepLookup,4,FALSE)*(Operations!$G60*Operations!$H60/Operations!$I60)^0.5)^2)</f>
        <v>16213.82833106326</v>
      </c>
      <c r="R60" s="110">
        <f>IF(Operations!$N60=0,0,IF(Operations!$I60*Operations!$H60=0,0,(Operations!$P60-Operations!$Q60)/(Operations!$H60)))</f>
        <v>0.46595509740023189</v>
      </c>
      <c r="S60" s="112">
        <f>IF(Operations!$H60=0,0,Operations!$P60*'General Variables'!$B$9/Operations!$H60)</f>
        <v>0.13902972859651072</v>
      </c>
      <c r="T60" s="112">
        <f>IF(Operations!$H60=0,0,Operations!$P60*'General Variables'!$B$10/Operations!$H60)</f>
        <v>0.27805945719302144</v>
      </c>
      <c r="U60" s="112">
        <f>SUM(Table3[[#This Row],[Depreciation per Unit]:[Opportunity Cost per Unit]])</f>
        <v>0.88304428318976402</v>
      </c>
    </row>
    <row r="61" spans="1:21" ht="12.75" customHeight="1" x14ac:dyDescent="0.2">
      <c r="A61" s="124" t="s">
        <v>546</v>
      </c>
      <c r="B61" s="103" t="s">
        <v>64</v>
      </c>
      <c r="C61" s="103"/>
      <c r="D61" s="103"/>
      <c r="E61" s="105"/>
      <c r="F61" s="119"/>
      <c r="G61" s="105">
        <v>5</v>
      </c>
      <c r="H61" s="105">
        <v>1000</v>
      </c>
      <c r="I61" s="115">
        <v>12.7</v>
      </c>
      <c r="J61" s="108">
        <v>1</v>
      </c>
      <c r="K61" s="104" t="s">
        <v>416</v>
      </c>
      <c r="L61" s="106">
        <v>3.8617021276595755</v>
      </c>
      <c r="M61" s="108"/>
      <c r="N61" s="109">
        <f>IF(Operations!$E61&gt;1,Operations!$E61,IF(Operations!$D61=0,0,Operations!$F61/(VLOOKUP(Operations!$D61,ImpDepLookup,2,FALSE)-VLOOKUP(Operations!$D61,ImpDepLookup,3,FALSE)*Operations!$G61^0.5-VLOOKUP(Operations!$D61,ImpDepLookup,4,FALSE)*(Operations!$G61*(Operations!$G61*Operations!$H61/Operations!$I61)^0.5))^2))</f>
        <v>0</v>
      </c>
      <c r="O61" s="110">
        <f>IF(Operations!$C61="",0,(((Operations!$G61+1)*Operations!$H61/Operations!$I61/1000)^VLOOKUP(Operations!$C61,ImpRepairFac[],4,FALSE)-(Operations!$G61*Operations!$H61/Operations!$I61/1000)^VLOOKUP(Operations!$C61,ImpRepairFac[],4,FALSE))*Operations!$N61*VLOOKUP(Operations!$C61,ImpRepairFac[],3,FALSE)/Operations!$H61)</f>
        <v>0</v>
      </c>
      <c r="P61" s="111">
        <f>IF(Operations!$N61=0,0,Operations!$N61*(VLOOKUP(Operations!$D61,ImpDepLookup,2,FALSE)-VLOOKUP(Operations!$D61,ImpDepLookup,3,FALSE)*Operations!$G61^0.5-VLOOKUP(Operations!$D61,ImpDepLookup,4,FALSE)*(Operations!$G61*Operations!$H61/Operations!$I61)^0.5)^2)</f>
        <v>0</v>
      </c>
      <c r="Q61" s="111">
        <f>IF(Operations!$N61=0,0,Operations!$N61*(VLOOKUP(Operations!$D61,ImpDepLookup,2,FALSE)-VLOOKUP(Operations!$D61,ImpDepLookup,3,FALSE)*(Operations!$G61+1)^0.5-VLOOKUP(Operations!$D61,ImpDepLookup,4,FALSE)*(Operations!$G61*Operations!$H61/Operations!$I61)^0.5)^2)</f>
        <v>0</v>
      </c>
      <c r="R61" s="110">
        <f>IF(Operations!$N61=0,0,IF(Operations!$I61*Operations!$H61=0,0,(Operations!$P61-Operations!$Q61)/(Operations!$H61)))</f>
        <v>0</v>
      </c>
      <c r="S61" s="112">
        <f>IF(Operations!$H61=0,0,Operations!$P61*'General Variables'!$B$9/Operations!$H61)</f>
        <v>0</v>
      </c>
      <c r="T61" s="112">
        <f>IF(Operations!$H61=0,0,Operations!$P61*'General Variables'!$B$10/Operations!$H61)</f>
        <v>0</v>
      </c>
      <c r="U61" s="112">
        <f>SUM(Table3[[#This Row],[Depreciation per Unit]:[Opportunity Cost per Unit]])</f>
        <v>0</v>
      </c>
    </row>
    <row r="62" spans="1:21" ht="12.75" customHeight="1" x14ac:dyDescent="0.2">
      <c r="A62" s="124" t="s">
        <v>572</v>
      </c>
      <c r="B62" s="103" t="s">
        <v>3</v>
      </c>
      <c r="C62" s="103"/>
      <c r="D62" s="103"/>
      <c r="E62" s="105"/>
      <c r="F62" s="106"/>
      <c r="G62" s="105"/>
      <c r="H62" s="105"/>
      <c r="I62" s="113"/>
      <c r="J62" s="108"/>
      <c r="K62" s="104"/>
      <c r="L62" s="106" t="s">
        <v>354</v>
      </c>
      <c r="M62" s="108"/>
      <c r="N62" s="109">
        <f>IF(Operations!$E62&gt;1,Operations!$E62,IF(Operations!$D62=0,0,Operations!$F62/(VLOOKUP(Operations!$D62,ImpDepLookup,2,FALSE)-VLOOKUP(Operations!$D62,ImpDepLookup,3,FALSE)*Operations!$G62^0.5-VLOOKUP(Operations!$D62,ImpDepLookup,4,FALSE)*(Operations!$G62*(Operations!$G62*Operations!$H62/Operations!$I62)^0.5))^2))</f>
        <v>0</v>
      </c>
      <c r="O62" s="110">
        <f>IF(Operations!$C62="",0,(((Operations!$G62+1)*Operations!$H62/Operations!$I62/1000)^VLOOKUP(Operations!$C62,ImpRepairFac[],4,FALSE)-(Operations!$G62*Operations!$H62/Operations!$I62/1000)^VLOOKUP(Operations!$C62,ImpRepairFac[],4,FALSE))*Operations!$N62*VLOOKUP(Operations!$C62,ImpRepairFac[],3,FALSE)/Operations!$H62)</f>
        <v>0</v>
      </c>
      <c r="P62" s="111">
        <f>IF(Operations!$N62=0,0,Operations!$N62*(VLOOKUP(Operations!$D62,ImpDepLookup,2,FALSE)-VLOOKUP(Operations!$D62,ImpDepLookup,3,FALSE)*Operations!$G62^0.5-VLOOKUP(Operations!$D62,ImpDepLookup,4,FALSE)*(Operations!$G62*Operations!$H62/Operations!$I62)^0.5)^2)</f>
        <v>0</v>
      </c>
      <c r="Q62" s="111">
        <f>IF(Operations!$N62=0,0,Operations!$N62*(VLOOKUP(Operations!$D62,ImpDepLookup,2,FALSE)-VLOOKUP(Operations!$D62,ImpDepLookup,3,FALSE)*(Operations!$G62+1)^0.5-VLOOKUP(Operations!$D62,ImpDepLookup,4,FALSE)*(Operations!$G62*Operations!$H62/Operations!$I62)^0.5)^2)</f>
        <v>0</v>
      </c>
      <c r="R62" s="110">
        <f>IF(Operations!$N62=0,0,IF(Operations!$I62*Operations!$H62=0,0,(Operations!$P62-Operations!$Q62)/(Operations!$H62)))</f>
        <v>0</v>
      </c>
      <c r="S62" s="112">
        <f>IF(Operations!$H62=0,0,Operations!$P62*'General Variables'!$B$9/Operations!$H62)</f>
        <v>0</v>
      </c>
      <c r="T62" s="112">
        <f>IF(Operations!$H62=0,0,Operations!$P62*'General Variables'!$B$10/Operations!$H62)</f>
        <v>0</v>
      </c>
      <c r="U62" s="112">
        <f>SUM(Table3[[#This Row],[Depreciation per Unit]:[Opportunity Cost per Unit]])</f>
        <v>0</v>
      </c>
    </row>
    <row r="63" spans="1:21" ht="12.75" customHeight="1" x14ac:dyDescent="0.2">
      <c r="A63" s="124" t="s">
        <v>548</v>
      </c>
      <c r="B63" s="103" t="s">
        <v>57</v>
      </c>
      <c r="C63" s="104" t="s">
        <v>457</v>
      </c>
      <c r="D63" s="104" t="s">
        <v>301</v>
      </c>
      <c r="E63" s="105">
        <v>13000</v>
      </c>
      <c r="F63" s="106"/>
      <c r="G63" s="105">
        <v>5</v>
      </c>
      <c r="H63" s="105">
        <v>1250</v>
      </c>
      <c r="I63" s="115">
        <v>10</v>
      </c>
      <c r="J63" s="108">
        <v>1</v>
      </c>
      <c r="K63" s="104" t="s">
        <v>416</v>
      </c>
      <c r="L63" s="106">
        <v>2</v>
      </c>
      <c r="M63" s="108"/>
      <c r="N63" s="109">
        <f>IF(Operations!$E63&gt;1,Operations!$E63,IF(Operations!$D63=0,0,Operations!$F63/(VLOOKUP(Operations!$D63,ImpDepLookup,2,FALSE)-VLOOKUP(Operations!$D63,ImpDepLookup,3,FALSE)*Operations!$G63^0.5-VLOOKUP(Operations!$D63,ImpDepLookup,4,FALSE)*(Operations!$G63*(Operations!$G63*Operations!$H63/Operations!$I63)^0.5))^2))</f>
        <v>13000</v>
      </c>
      <c r="O63" s="110">
        <f>IF(Operations!$C63="",0,(((Operations!$G63+1)*Operations!$H63/Operations!$I63/1000)^VLOOKUP(Operations!$C63,ImpRepairFac[],4,FALSE)-(Operations!$G63*Operations!$H63/Operations!$I63/1000)^VLOOKUP(Operations!$C63,ImpRepairFac[],4,FALSE))*Operations!$N63*VLOOKUP(Operations!$C63,ImpRepairFac[],3,FALSE)/Operations!$H63)</f>
        <v>0.28687733423438283</v>
      </c>
      <c r="P63" s="111">
        <f>IF(Operations!$N63=0,0,Operations!$N63*(VLOOKUP(Operations!$D63,ImpDepLookup,2,FALSE)-VLOOKUP(Operations!$D63,ImpDepLookup,3,FALSE)*Operations!$G63^0.5-VLOOKUP(Operations!$D63,ImpDepLookup,4,FALSE)*(Operations!$G63*Operations!$H63/Operations!$I63)^0.5)^2)</f>
        <v>4487.3033637012804</v>
      </c>
      <c r="Q63" s="111">
        <f>IF(Operations!$N63=0,0,Operations!$N63*(VLOOKUP(Operations!$D63,ImpDepLookup,2,FALSE)-VLOOKUP(Operations!$D63,ImpDepLookup,3,FALSE)*(Operations!$G63+1)^0.5-VLOOKUP(Operations!$D63,ImpDepLookup,4,FALSE)*(Operations!$G63*Operations!$H63/Operations!$I63)^0.5)^2)</f>
        <v>4195.5362494428273</v>
      </c>
      <c r="R63" s="110">
        <f>IF(Operations!$N63=0,0,IF(Operations!$I63*Operations!$H63=0,0,(Operations!$P63-Operations!$Q63)/(Operations!$H63)))</f>
        <v>0.23341369140676252</v>
      </c>
      <c r="S63" s="112">
        <f>IF(Operations!$H63=0,0,Operations!$P63*'General Variables'!$B$9/Operations!$H63)</f>
        <v>7.1796853819220491E-2</v>
      </c>
      <c r="T63" s="112">
        <f>IF(Operations!$H63=0,0,Operations!$P63*'General Variables'!$B$10/Operations!$H63)</f>
        <v>0.14359370763844098</v>
      </c>
      <c r="U63" s="112">
        <f>SUM(Table3[[#This Row],[Depreciation per Unit]:[Opportunity Cost per Unit]])</f>
        <v>0.44880425286442399</v>
      </c>
    </row>
    <row r="64" spans="1:21" ht="12.75" customHeight="1" x14ac:dyDescent="0.2">
      <c r="A64" s="124" t="s">
        <v>293</v>
      </c>
      <c r="B64" s="103" t="s">
        <v>64</v>
      </c>
      <c r="C64" s="104" t="s">
        <v>305</v>
      </c>
      <c r="D64" s="104" t="s">
        <v>326</v>
      </c>
      <c r="E64" s="105">
        <v>30000</v>
      </c>
      <c r="F64" s="106"/>
      <c r="G64" s="105">
        <v>5</v>
      </c>
      <c r="H64" s="105">
        <v>500</v>
      </c>
      <c r="I64" s="113">
        <v>9</v>
      </c>
      <c r="J64" s="108">
        <v>1</v>
      </c>
      <c r="K64" s="104" t="s">
        <v>415</v>
      </c>
      <c r="L64" s="106">
        <v>8.25</v>
      </c>
      <c r="M64" s="108"/>
      <c r="N64" s="109">
        <f>IF(Operations!$E64&gt;1,Operations!$E64,IF(Operations!$D64=0,0,Operations!$F64/(VLOOKUP(Operations!$D64,ImpDepLookup,2,FALSE)-VLOOKUP(Operations!$D64,ImpDepLookup,3,FALSE)*Operations!$G64^0.5-VLOOKUP(Operations!$D64,ImpDepLookup,4,FALSE)*(Operations!$G64*(Operations!$G64*Operations!$H64/Operations!$I64)^0.5))^2))</f>
        <v>30000</v>
      </c>
      <c r="O64" s="110">
        <f>IF(Operations!$C64="",0,(((Operations!$G64+1)*Operations!$H64/Operations!$I64/1000)^VLOOKUP(Operations!$C64,ImpRepairFac[],4,FALSE)-(Operations!$G64*Operations!$H64/Operations!$I64/1000)^VLOOKUP(Operations!$C64,ImpRepairFac[],4,FALSE))*Operations!$N64*VLOOKUP(Operations!$C64,ImpRepairFac[],3,FALSE)/Operations!$H64)</f>
        <v>0.81293729152082794</v>
      </c>
      <c r="P64" s="111">
        <f>IF(Operations!$N64=0,0,Operations!$N64*(VLOOKUP(Operations!$D64,ImpDepLookup,2,FALSE)-VLOOKUP(Operations!$D64,ImpDepLookup,3,FALSE)*Operations!$G64^0.5-VLOOKUP(Operations!$D64,ImpDepLookup,4,FALSE)*(Operations!$G64*Operations!$H64/Operations!$I64)^0.5)^2)</f>
        <v>12482.008651514734</v>
      </c>
      <c r="Q64" s="111">
        <f>IF(Operations!$N64=0,0,Operations!$N64*(VLOOKUP(Operations!$D64,ImpDepLookup,2,FALSE)-VLOOKUP(Operations!$D64,ImpDepLookup,3,FALSE)*(Operations!$G64+1)^0.5-VLOOKUP(Operations!$D64,ImpDepLookup,4,FALSE)*(Operations!$G64*Operations!$H64/Operations!$I64)^0.5)^2)</f>
        <v>11589.960618589243</v>
      </c>
      <c r="R64" s="110">
        <f>IF(Operations!$N64=0,0,IF(Operations!$I64*Operations!$H64=0,0,(Operations!$P64-Operations!$Q64)/(Operations!$H64)))</f>
        <v>1.784096065850983</v>
      </c>
      <c r="S64" s="112">
        <f>IF(Operations!$H64=0,0,Operations!$P64*'General Variables'!$B$9/Operations!$H64)</f>
        <v>0.49928034606058935</v>
      </c>
      <c r="T64" s="112">
        <f>IF(Operations!$H64=0,0,Operations!$P64*'General Variables'!$B$10/Operations!$H64)</f>
        <v>0.99856069212117871</v>
      </c>
      <c r="U64" s="112">
        <f>SUM(Table3[[#This Row],[Depreciation per Unit]:[Opportunity Cost per Unit]])</f>
        <v>3.2819371040327514</v>
      </c>
    </row>
    <row r="65" spans="1:21" ht="12.75" customHeight="1" x14ac:dyDescent="0.2">
      <c r="A65" s="124" t="s">
        <v>573</v>
      </c>
      <c r="B65" s="103" t="s">
        <v>64</v>
      </c>
      <c r="C65" s="104" t="s">
        <v>514</v>
      </c>
      <c r="D65" s="104" t="s">
        <v>301</v>
      </c>
      <c r="E65" s="105">
        <v>0</v>
      </c>
      <c r="F65" s="106"/>
      <c r="G65" s="105">
        <v>5</v>
      </c>
      <c r="H65" s="105">
        <v>2000</v>
      </c>
      <c r="I65" s="115">
        <v>10</v>
      </c>
      <c r="J65" s="108">
        <v>1</v>
      </c>
      <c r="K65" s="104" t="s">
        <v>300</v>
      </c>
      <c r="L65" s="106">
        <v>5</v>
      </c>
      <c r="M65" s="108"/>
      <c r="N65" s="109">
        <f>IF(Operations!$E65&gt;1,Operations!$E65,IF(Operations!$D65=0,0,Operations!$F65/(VLOOKUP(Operations!$D65,ImpDepLookup,2,FALSE)-VLOOKUP(Operations!$D65,ImpDepLookup,3,FALSE)*Operations!$G65^0.5-VLOOKUP(Operations!$D65,ImpDepLookup,4,FALSE)*(Operations!$G65*(Operations!$G65*Operations!$H65/Operations!$I65)^0.5))^2))</f>
        <v>0</v>
      </c>
      <c r="O65" s="110">
        <f>IF(Operations!$C65="",0,(((Operations!$G65+1)*Operations!$H65/Operations!$I65/1000)^VLOOKUP(Operations!$C65,ImpRepairFac[],4,FALSE)-(Operations!$G65*Operations!$H65/Operations!$I65/1000)^VLOOKUP(Operations!$C65,ImpRepairFac[],4,FALSE))*Operations!$N65*VLOOKUP(Operations!$C65,ImpRepairFac[],3,FALSE)/Operations!$H65)</f>
        <v>0</v>
      </c>
      <c r="P65" s="111">
        <f>IF(Operations!$N65=0,0,Operations!$N65*(VLOOKUP(Operations!$D65,ImpDepLookup,2,FALSE)-VLOOKUP(Operations!$D65,ImpDepLookup,3,FALSE)*Operations!$G65^0.5-VLOOKUP(Operations!$D65,ImpDepLookup,4,FALSE)*(Operations!$G65*Operations!$H65/Operations!$I65)^0.5)^2)</f>
        <v>0</v>
      </c>
      <c r="Q65" s="111">
        <f>IF(Operations!$N65=0,0,Operations!$N65*(VLOOKUP(Operations!$D65,ImpDepLookup,2,FALSE)-VLOOKUP(Operations!$D65,ImpDepLookup,3,FALSE)*(Operations!$G65+1)^0.5-VLOOKUP(Operations!$D65,ImpDepLookup,4,FALSE)*(Operations!$G65*Operations!$H65/Operations!$I65)^0.5)^2)</f>
        <v>0</v>
      </c>
      <c r="R65" s="110">
        <f>IF(Operations!$N65=0,0,IF(Operations!$I65*Operations!$H65=0,0,(Operations!$P65-Operations!$Q65)/(Operations!$H65)))</f>
        <v>0</v>
      </c>
      <c r="S65" s="112">
        <f>IF(Operations!$H65=0,0,Operations!$P65*'General Variables'!$B$9/Operations!$H65)</f>
        <v>0</v>
      </c>
      <c r="T65" s="112">
        <f>IF(Operations!$H65=0,0,Operations!$P65*'General Variables'!$B$10/Operations!$H65)</f>
        <v>0</v>
      </c>
      <c r="U65" s="112">
        <f>SUM(Table3[[#This Row],[Depreciation per Unit]:[Opportunity Cost per Unit]])</f>
        <v>0</v>
      </c>
    </row>
    <row r="66" spans="1:21" ht="12.75" customHeight="1" x14ac:dyDescent="0.2">
      <c r="A66" s="124" t="s">
        <v>294</v>
      </c>
      <c r="B66" s="103" t="s">
        <v>64</v>
      </c>
      <c r="C66" s="104" t="s">
        <v>320</v>
      </c>
      <c r="D66" s="104" t="s">
        <v>328</v>
      </c>
      <c r="E66" s="117">
        <v>48000</v>
      </c>
      <c r="F66" s="106"/>
      <c r="G66" s="105">
        <v>5</v>
      </c>
      <c r="H66" s="105">
        <v>1000</v>
      </c>
      <c r="I66" s="113">
        <v>6</v>
      </c>
      <c r="J66" s="108">
        <v>1.1000000000000001</v>
      </c>
      <c r="K66" s="104" t="s">
        <v>415</v>
      </c>
      <c r="L66" s="106">
        <v>8.25</v>
      </c>
      <c r="M66" s="108"/>
      <c r="N66" s="109">
        <f>IF(Operations!$E66&gt;1,Operations!$E66,IF(Operations!$D66=0,0,Operations!$F66/(VLOOKUP(Operations!$D66,ImpDepLookup,2,FALSE)-VLOOKUP(Operations!$D66,ImpDepLookup,3,FALSE)*Operations!$G66^0.5-VLOOKUP(Operations!$D66,ImpDepLookup,4,FALSE)*(Operations!$G66*(Operations!$G66*Operations!$H66/Operations!$I66)^0.5))^2))</f>
        <v>48000</v>
      </c>
      <c r="O66" s="110">
        <f>IF(Operations!$C66="",0,(((Operations!$G66+1)*Operations!$H66/Operations!$I66/1000)^VLOOKUP(Operations!$C66,ImpRepairFac[],4,FALSE)-(Operations!$G66*Operations!$H66/Operations!$I66/1000)^VLOOKUP(Operations!$C66,ImpRepairFac[],4,FALSE))*Operations!$N66*VLOOKUP(Operations!$C66,ImpRepairFac[],3,FALSE)/Operations!$H66)</f>
        <v>4.8860475246729314</v>
      </c>
      <c r="P66" s="111">
        <f>IF(Operations!$N66=0,0,Operations!$N66*(VLOOKUP(Operations!$D66,ImpDepLookup,2,FALSE)-VLOOKUP(Operations!$D66,ImpDepLookup,3,FALSE)*Operations!$G66^0.5-VLOOKUP(Operations!$D66,ImpDepLookup,4,FALSE)*(Operations!$G66*Operations!$H66/Operations!$I66)^0.5)^2)</f>
        <v>24100.565195297229</v>
      </c>
      <c r="Q66" s="111">
        <f>IF(Operations!$N66=0,0,Operations!$N66*(VLOOKUP(Operations!$D66,ImpDepLookup,2,FALSE)-VLOOKUP(Operations!$D66,ImpDepLookup,3,FALSE)*(Operations!$G66+1)^0.5-VLOOKUP(Operations!$D66,ImpDepLookup,4,FALSE)*(Operations!$G66*Operations!$H66/Operations!$I66)^0.5)^2)</f>
        <v>22981.472971732936</v>
      </c>
      <c r="R66" s="110">
        <f>IF(Operations!$N66=0,0,IF(Operations!$I66*Operations!$H66=0,0,(Operations!$P66-Operations!$Q66)/(Operations!$H66)))</f>
        <v>1.1190922235642937</v>
      </c>
      <c r="S66" s="112">
        <f>IF(Operations!$H66=0,0,Operations!$P66*'General Variables'!$B$9/Operations!$H66)</f>
        <v>0.4820113039059446</v>
      </c>
      <c r="T66" s="112">
        <f>IF(Operations!$H66=0,0,Operations!$P66*'General Variables'!$B$10/Operations!$H66)</f>
        <v>0.9640226078118892</v>
      </c>
      <c r="U66" s="112">
        <f>SUM(Table3[[#This Row],[Depreciation per Unit]:[Opportunity Cost per Unit]])</f>
        <v>2.5651261352821275</v>
      </c>
    </row>
    <row r="67" spans="1:21" ht="12.75" customHeight="1" x14ac:dyDescent="0.2">
      <c r="A67" s="124" t="s">
        <v>295</v>
      </c>
      <c r="B67" s="103" t="s">
        <v>64</v>
      </c>
      <c r="C67" s="104" t="s">
        <v>325</v>
      </c>
      <c r="D67" s="104" t="s">
        <v>301</v>
      </c>
      <c r="E67" s="105">
        <v>50000</v>
      </c>
      <c r="F67" s="119"/>
      <c r="G67" s="105">
        <v>5</v>
      </c>
      <c r="H67" s="105">
        <v>1000</v>
      </c>
      <c r="I67" s="113">
        <v>5.7894736842105274</v>
      </c>
      <c r="J67" s="108">
        <v>1</v>
      </c>
      <c r="K67" s="104" t="s">
        <v>416</v>
      </c>
      <c r="L67" s="106">
        <v>3.5</v>
      </c>
      <c r="M67" s="108"/>
      <c r="N67" s="109">
        <f>IF(Operations!$E67&gt;1,Operations!$E67,IF(Operations!$D67=0,0,Operations!$F67/(VLOOKUP(Operations!$D67,ImpDepLookup,2,FALSE)-VLOOKUP(Operations!$D67,ImpDepLookup,3,FALSE)*Operations!$G67^0.5-VLOOKUP(Operations!$D67,ImpDepLookup,4,FALSE)*(Operations!$G67*(Operations!$G67*Operations!$H67/Operations!$I67)^0.5))^2))</f>
        <v>50000</v>
      </c>
      <c r="O67" s="110">
        <f>IF(Operations!$C67="",0,(((Operations!$G67+1)*Operations!$H67/Operations!$I67/1000)^VLOOKUP(Operations!$C67,ImpRepairFac[],4,FALSE)-(Operations!$G67*Operations!$H67/Operations!$I67/1000)^VLOOKUP(Operations!$C67,ImpRepairFac[],4,FALSE))*Operations!$N67*VLOOKUP(Operations!$C67,ImpRepairFac[],3,FALSE)/Operations!$H67)</f>
        <v>3.3156035000791926</v>
      </c>
      <c r="P67" s="111">
        <f>IF(Operations!$N67=0,0,Operations!$N67*(VLOOKUP(Operations!$D67,ImpDepLookup,2,FALSE)-VLOOKUP(Operations!$D67,ImpDepLookup,3,FALSE)*Operations!$G67^0.5-VLOOKUP(Operations!$D67,ImpDepLookup,4,FALSE)*(Operations!$G67*Operations!$H67/Operations!$I67)^0.5)^2)</f>
        <v>17258.859091158771</v>
      </c>
      <c r="Q67" s="111">
        <f>IF(Operations!$N67=0,0,Operations!$N67*(VLOOKUP(Operations!$D67,ImpDepLookup,2,FALSE)-VLOOKUP(Operations!$D67,ImpDepLookup,3,FALSE)*(Operations!$G67+1)^0.5-VLOOKUP(Operations!$D67,ImpDepLookup,4,FALSE)*(Operations!$G67*Operations!$H67/Operations!$I67)^0.5)^2)</f>
        <v>16136.677882472412</v>
      </c>
      <c r="R67" s="110">
        <f>IF(Operations!$N67=0,0,IF(Operations!$I67*Operations!$H67=0,0,(Operations!$P67-Operations!$Q67)/(Operations!$H67)))</f>
        <v>1.1221812086863592</v>
      </c>
      <c r="S67" s="112">
        <f>IF(Operations!$H67=0,0,Operations!$P67*'General Variables'!$B$9/Operations!$H67)</f>
        <v>0.34517718182317542</v>
      </c>
      <c r="T67" s="112">
        <f>IF(Operations!$H67=0,0,Operations!$P67*'General Variables'!$B$10/Operations!$H67)</f>
        <v>0.69035436364635083</v>
      </c>
      <c r="U67" s="112">
        <f>SUM(Table3[[#This Row],[Depreciation per Unit]:[Opportunity Cost per Unit]])</f>
        <v>2.1577127541558854</v>
      </c>
    </row>
    <row r="68" spans="1:21" ht="12.75" customHeight="1" x14ac:dyDescent="0.2">
      <c r="A68" s="124" t="s">
        <v>296</v>
      </c>
      <c r="B68" s="103" t="s">
        <v>3</v>
      </c>
      <c r="C68" s="103"/>
      <c r="D68" s="103"/>
      <c r="E68" s="105"/>
      <c r="F68" s="106"/>
      <c r="G68" s="105">
        <v>5</v>
      </c>
      <c r="H68" s="105"/>
      <c r="I68" s="113" t="s">
        <v>354</v>
      </c>
      <c r="J68" s="108"/>
      <c r="K68" s="104" t="s">
        <v>415</v>
      </c>
      <c r="L68" s="106" t="s">
        <v>354</v>
      </c>
      <c r="M68" s="108"/>
      <c r="N68" s="109">
        <f>IF(Operations!$E68&gt;1,Operations!$E68,IF(Operations!$D68=0,0,Operations!$F68/(VLOOKUP(Operations!$D68,ImpDepLookup,2,FALSE)-VLOOKUP(Operations!$D68,ImpDepLookup,3,FALSE)*Operations!$G68^0.5-VLOOKUP(Operations!$D68,ImpDepLookup,4,FALSE)*(Operations!$G68*(Operations!$G68*Operations!$H68/Operations!$I68)^0.5))^2))</f>
        <v>0</v>
      </c>
      <c r="O68" s="110">
        <f>IF(Operations!$C68="",0,(((Operations!$G68+1)*Operations!$H68/Operations!$I68/1000)^VLOOKUP(Operations!$C68,ImpRepairFac[],4,FALSE)-(Operations!$G68*Operations!$H68/Operations!$I68/1000)^VLOOKUP(Operations!$C68,ImpRepairFac[],4,FALSE))*Operations!$N68*VLOOKUP(Operations!$C68,ImpRepairFac[],3,FALSE)/Operations!$H68)</f>
        <v>0</v>
      </c>
      <c r="P68" s="111">
        <f>IF(Operations!$N68=0,0,Operations!$N68*(VLOOKUP(Operations!$D68,ImpDepLookup,2,FALSE)-VLOOKUP(Operations!$D68,ImpDepLookup,3,FALSE)*Operations!$G68^0.5-VLOOKUP(Operations!$D68,ImpDepLookup,4,FALSE)*(Operations!$G68*Operations!$H68/Operations!$I68)^0.5)^2)</f>
        <v>0</v>
      </c>
      <c r="Q68" s="111">
        <f>IF(Operations!$N68=0,0,Operations!$N68*(VLOOKUP(Operations!$D68,ImpDepLookup,2,FALSE)-VLOOKUP(Operations!$D68,ImpDepLookup,3,FALSE)*(Operations!$G68+1)^0.5-VLOOKUP(Operations!$D68,ImpDepLookup,4,FALSE)*(Operations!$G68*Operations!$H68/Operations!$I68)^0.5)^2)</f>
        <v>0</v>
      </c>
      <c r="R68" s="110">
        <f>IF(Operations!$N68=0,0,IF(Operations!$I68*Operations!$H68=0,0,(Operations!$P68-Operations!$Q68)/(Operations!$H68)))</f>
        <v>0</v>
      </c>
      <c r="S68" s="112">
        <f>IF(Operations!$H68=0,0,Operations!$P68*'General Variables'!$B$9/Operations!$H68)</f>
        <v>0</v>
      </c>
      <c r="T68" s="112">
        <f>IF(Operations!$H68=0,0,Operations!$P68*'General Variables'!$B$10/Operations!$H68)</f>
        <v>0</v>
      </c>
      <c r="U68" s="112">
        <f>SUM(Table3[[#This Row],[Depreciation per Unit]:[Opportunity Cost per Unit]])</f>
        <v>0</v>
      </c>
    </row>
    <row r="69" spans="1:21" ht="12.75" customHeight="1" x14ac:dyDescent="0.2">
      <c r="A69" s="124" t="s">
        <v>297</v>
      </c>
      <c r="B69" s="103" t="s">
        <v>64</v>
      </c>
      <c r="C69" s="104" t="s">
        <v>310</v>
      </c>
      <c r="D69" s="104" t="s">
        <v>301</v>
      </c>
      <c r="E69" s="105">
        <v>7403</v>
      </c>
      <c r="F69" s="106"/>
      <c r="G69" s="105">
        <v>5</v>
      </c>
      <c r="H69" s="105">
        <v>1000</v>
      </c>
      <c r="I69" s="115">
        <v>12</v>
      </c>
      <c r="J69" s="108">
        <v>1</v>
      </c>
      <c r="K69" s="104" t="s">
        <v>416</v>
      </c>
      <c r="L69" s="106">
        <v>2.0971962616822433</v>
      </c>
      <c r="M69" s="108"/>
      <c r="N69" s="109">
        <f>IF(Operations!$E69&gt;1,Operations!$E69,IF(Operations!$D69=0,0,Operations!$F69/(VLOOKUP(Operations!$D69,ImpDepLookup,2,FALSE)-VLOOKUP(Operations!$D69,ImpDepLookup,3,FALSE)*Operations!$G69^0.5-VLOOKUP(Operations!$D69,ImpDepLookup,4,FALSE)*(Operations!$G69*(Operations!$G69*Operations!$H69/Operations!$I69)^0.5))^2))</f>
        <v>7403</v>
      </c>
      <c r="O69" s="110">
        <f>IF(Operations!$C69="",0,(((Operations!$G69+1)*Operations!$H69/Operations!$I69/1000)^VLOOKUP(Operations!$C69,ImpRepairFac[],4,FALSE)-(Operations!$G69*Operations!$H69/Operations!$I69/1000)^VLOOKUP(Operations!$C69,ImpRepairFac[],4,FALSE))*Operations!$N69*VLOOKUP(Operations!$C69,ImpRepairFac[],3,FALSE)/Operations!$H69)</f>
        <v>0.10743163812286773</v>
      </c>
      <c r="P69" s="111">
        <f>IF(Operations!$N69=0,0,Operations!$N69*(VLOOKUP(Operations!$D69,ImpDepLookup,2,FALSE)-VLOOKUP(Operations!$D69,ImpDepLookup,3,FALSE)*Operations!$G69^0.5-VLOOKUP(Operations!$D69,ImpDepLookup,4,FALSE)*(Operations!$G69*Operations!$H69/Operations!$I69)^0.5)^2)</f>
        <v>2555.3466770369678</v>
      </c>
      <c r="Q69" s="111">
        <f>IF(Operations!$N69=0,0,Operations!$N69*(VLOOKUP(Operations!$D69,ImpDepLookup,2,FALSE)-VLOOKUP(Operations!$D69,ImpDepLookup,3,FALSE)*(Operations!$G69+1)^0.5-VLOOKUP(Operations!$D69,ImpDepLookup,4,FALSE)*(Operations!$G69*Operations!$H69/Operations!$I69)^0.5)^2)</f>
        <v>2389.1965272788652</v>
      </c>
      <c r="R69" s="110">
        <f>IF(Operations!$N69=0,0,IF(Operations!$I69*Operations!$H69=0,0,(Operations!$P69-Operations!$Q69)/(Operations!$H69)))</f>
        <v>0.16615014975810255</v>
      </c>
      <c r="S69" s="112">
        <f>IF(Operations!$H69=0,0,Operations!$P69*'General Variables'!$B$9/Operations!$H69)</f>
        <v>5.1106933540739356E-2</v>
      </c>
      <c r="T69" s="112">
        <f>IF(Operations!$H69=0,0,Operations!$P69*'General Variables'!$B$10/Operations!$H69)</f>
        <v>0.10221386708147871</v>
      </c>
      <c r="U69" s="112">
        <f>SUM(Table3[[#This Row],[Depreciation per Unit]:[Opportunity Cost per Unit]])</f>
        <v>0.31947095038032064</v>
      </c>
    </row>
    <row r="70" spans="1:21" ht="12.75" customHeight="1" x14ac:dyDescent="0.2">
      <c r="A70" s="124" t="s">
        <v>298</v>
      </c>
      <c r="B70" s="103" t="s">
        <v>64</v>
      </c>
      <c r="C70" s="104" t="s">
        <v>514</v>
      </c>
      <c r="D70" s="104" t="s">
        <v>301</v>
      </c>
      <c r="E70" s="105">
        <v>0</v>
      </c>
      <c r="F70" s="106"/>
      <c r="G70" s="105">
        <v>5</v>
      </c>
      <c r="H70" s="105">
        <v>3000</v>
      </c>
      <c r="I70" s="113">
        <v>10</v>
      </c>
      <c r="J70" s="108">
        <v>1</v>
      </c>
      <c r="K70" s="104" t="s">
        <v>300</v>
      </c>
      <c r="L70" s="106">
        <v>5</v>
      </c>
      <c r="M70" s="108"/>
      <c r="N70" s="109">
        <f>IF(Operations!$E70&gt;1,Operations!$E70,IF(Operations!$D70=0,0,Operations!$F70/(VLOOKUP(Operations!$D70,ImpDepLookup,2,FALSE)-VLOOKUP(Operations!$D70,ImpDepLookup,3,FALSE)*Operations!$G70^0.5-VLOOKUP(Operations!$D70,ImpDepLookup,4,FALSE)*(Operations!$G70*(Operations!$G70*Operations!$H70/Operations!$I70)^0.5))^2))</f>
        <v>0</v>
      </c>
      <c r="O70" s="110">
        <f>IF(Operations!$C70="",0,(((Operations!$G70+1)*Operations!$H70/Operations!$I70/1000)^VLOOKUP(Operations!$C70,ImpRepairFac[],4,FALSE)-(Operations!$G70*Operations!$H70/Operations!$I70/1000)^VLOOKUP(Operations!$C70,ImpRepairFac[],4,FALSE))*Operations!$N70*VLOOKUP(Operations!$C70,ImpRepairFac[],3,FALSE)/Operations!$H70)</f>
        <v>0</v>
      </c>
      <c r="P70" s="111">
        <f>IF(Operations!$N70=0,0,Operations!$N70*(VLOOKUP(Operations!$D70,ImpDepLookup,2,FALSE)-VLOOKUP(Operations!$D70,ImpDepLookup,3,FALSE)*Operations!$G70^0.5-VLOOKUP(Operations!$D70,ImpDepLookup,4,FALSE)*(Operations!$G70*Operations!$H70/Operations!$I70)^0.5)^2)</f>
        <v>0</v>
      </c>
      <c r="Q70" s="111">
        <f>IF(Operations!$N70=0,0,Operations!$N70*(VLOOKUP(Operations!$D70,ImpDepLookup,2,FALSE)-VLOOKUP(Operations!$D70,ImpDepLookup,3,FALSE)*(Operations!$G70+1)^0.5-VLOOKUP(Operations!$D70,ImpDepLookup,4,FALSE)*(Operations!$G70*Operations!$H70/Operations!$I70)^0.5)^2)</f>
        <v>0</v>
      </c>
      <c r="R70" s="110">
        <f>IF(Operations!$N70=0,0,IF(Operations!$I70*Operations!$H70=0,0,(Operations!$P70-Operations!$Q70)/(Operations!$H70)))</f>
        <v>0</v>
      </c>
      <c r="S70" s="112">
        <f>IF(Operations!$H70=0,0,Operations!$P70*'General Variables'!$B$9/Operations!$H70)</f>
        <v>0</v>
      </c>
      <c r="T70" s="112">
        <f>IF(Operations!$H70=0,0,Operations!$P70*'General Variables'!$B$10/Operations!$H70)</f>
        <v>0</v>
      </c>
      <c r="U70" s="112">
        <f>SUM(Table3[[#This Row],[Depreciation per Unit]:[Opportunity Cost per Unit]])</f>
        <v>0</v>
      </c>
    </row>
    <row r="71" spans="1:21" ht="12.75" customHeight="1" x14ac:dyDescent="0.2">
      <c r="A71" s="124"/>
      <c r="B71" s="103"/>
      <c r="C71" s="104"/>
      <c r="D71" s="104"/>
      <c r="E71" s="105"/>
      <c r="F71" s="106"/>
      <c r="G71" s="104"/>
      <c r="H71" s="104"/>
      <c r="I71" s="113"/>
      <c r="J71" s="108"/>
      <c r="K71" s="104"/>
      <c r="L71" s="106"/>
      <c r="M71" s="108"/>
      <c r="N71" s="109">
        <f>IF(Operations!$E71&gt;1,Operations!$E71,IF(Operations!$D71=0,0,Operations!$F71/(VLOOKUP(Operations!$D71,ImpDepLookup,2,FALSE)-VLOOKUP(Operations!$D71,ImpDepLookup,3,FALSE)*Operations!$G71^0.5-VLOOKUP(Operations!$D71,ImpDepLookup,4,FALSE)*(Operations!$G71*(Operations!$G71*Operations!$H71/Operations!$I71)^0.5))^2))</f>
        <v>0</v>
      </c>
      <c r="O71" s="110">
        <f>IF(Operations!$C71="",0,(((Operations!$G71+1)*Operations!$H71/Operations!$I71/1000)^VLOOKUP(Operations!$C71,ImpRepairFac[],4,FALSE)-(Operations!$G71*Operations!$H71/Operations!$I71/1000)^VLOOKUP(Operations!$C71,ImpRepairFac[],4,FALSE))*Operations!$N71*VLOOKUP(Operations!$C71,ImpRepairFac[],3,FALSE)/Operations!$H71)</f>
        <v>0</v>
      </c>
      <c r="P71" s="111">
        <f>IF(Operations!$N71=0,0,Operations!$N71*(VLOOKUP(Operations!$D71,ImpDepLookup,2,FALSE)-VLOOKUP(Operations!$D71,ImpDepLookup,3,FALSE)*Operations!$G71^0.5-VLOOKUP(Operations!$D71,ImpDepLookup,4,FALSE)*(Operations!$G71*Operations!$H71/Operations!$I71)^0.5)^2)</f>
        <v>0</v>
      </c>
      <c r="Q71" s="111">
        <f>IF(Operations!$N71=0,0,Operations!$N71*(VLOOKUP(Operations!$D71,ImpDepLookup,2,FALSE)-VLOOKUP(Operations!$D71,ImpDepLookup,3,FALSE)*(Operations!$G71+1)^0.5-VLOOKUP(Operations!$D71,ImpDepLookup,4,FALSE)*(Operations!$G71*Operations!$H71/Operations!$I71)^0.5)^2)</f>
        <v>0</v>
      </c>
      <c r="R71" s="110">
        <f>IF(Operations!$N71=0,0,IF(Operations!$I71*Operations!$H71=0,0,(Operations!$P71-Operations!$Q71)/(Operations!$H71)))</f>
        <v>0</v>
      </c>
      <c r="S71" s="112">
        <f>IF(Operations!$H71=0,0,Operations!$P71*'General Variables'!$B$9/Operations!$H71)</f>
        <v>0</v>
      </c>
      <c r="T71" s="112">
        <f>IF(Operations!$H71=0,0,Operations!$P71*'General Variables'!$B$10/Operations!$H71)</f>
        <v>0</v>
      </c>
      <c r="U71" s="112">
        <f>SUM(Table3[[#This Row],[Depreciation per Unit]:[Opportunity Cost per Unit]])</f>
        <v>0</v>
      </c>
    </row>
    <row r="72" spans="1:21" ht="12.75" customHeight="1" x14ac:dyDescent="0.2">
      <c r="A72" s="124"/>
      <c r="B72" s="103"/>
      <c r="C72" s="104"/>
      <c r="D72" s="104"/>
      <c r="E72" s="120"/>
      <c r="F72" s="106"/>
      <c r="G72" s="105"/>
      <c r="H72" s="105"/>
      <c r="I72" s="113"/>
      <c r="J72" s="108"/>
      <c r="K72" s="104"/>
      <c r="L72" s="106"/>
      <c r="M72" s="108"/>
      <c r="N72" s="109">
        <f>IF(Operations!$E72&gt;1,Operations!$E72,IF(Operations!$D72=0,0,Operations!$F72/(VLOOKUP(Operations!$D72,ImpDepLookup,2,FALSE)-VLOOKUP(Operations!$D72,ImpDepLookup,3,FALSE)*Operations!$G72^0.5-VLOOKUP(Operations!$D72,ImpDepLookup,4,FALSE)*(Operations!$G72*(Operations!$G72*Operations!$H72/Operations!$I72)^0.5))^2))</f>
        <v>0</v>
      </c>
      <c r="O72" s="110">
        <f>IF(Operations!$C72="",0,(((Operations!$G72+1)*Operations!$H72/Operations!$I72/1000)^VLOOKUP(Operations!$C72,ImpRepairFac[],4,FALSE)-(Operations!$G72*Operations!$H72/Operations!$I72/1000)^VLOOKUP(Operations!$C72,ImpRepairFac[],4,FALSE))*Operations!$N72*VLOOKUP(Operations!$C72,ImpRepairFac[],3,FALSE)/Operations!$H72)</f>
        <v>0</v>
      </c>
      <c r="P72" s="111">
        <f>IF(Operations!$N72=0,0,Operations!$N72*(VLOOKUP(Operations!$D72,ImpDepLookup,2,FALSE)-VLOOKUP(Operations!$D72,ImpDepLookup,3,FALSE)*Operations!$G72^0.5-VLOOKUP(Operations!$D72,ImpDepLookup,4,FALSE)*(Operations!$G72*Operations!$H72/Operations!$I72)^0.5)^2)</f>
        <v>0</v>
      </c>
      <c r="Q72" s="111">
        <f>IF(Operations!$N72=0,0,Operations!$N72*(VLOOKUP(Operations!$D72,ImpDepLookup,2,FALSE)-VLOOKUP(Operations!$D72,ImpDepLookup,3,FALSE)*(Operations!$G72+1)^0.5-VLOOKUP(Operations!$D72,ImpDepLookup,4,FALSE)*(Operations!$G72*Operations!$H72/Operations!$I72)^0.5)^2)</f>
        <v>0</v>
      </c>
      <c r="R72" s="110">
        <f>IF(Operations!$N72=0,0,IF(Operations!$I72*Operations!$H72=0,0,(Operations!$P72-Operations!$Q72)/(Operations!$H72)))</f>
        <v>0</v>
      </c>
      <c r="S72" s="112">
        <f>IF(Operations!$H72=0,0,Operations!$P72*'General Variables'!$B$9/Operations!$H72)</f>
        <v>0</v>
      </c>
      <c r="T72" s="112">
        <f>IF(Operations!$H72=0,0,Operations!$P72*'General Variables'!$B$10/Operations!$H72)</f>
        <v>0</v>
      </c>
      <c r="U72" s="112">
        <f>SUM(Table3[[#This Row],[Depreciation per Unit]:[Opportunity Cost per Unit]])</f>
        <v>0</v>
      </c>
    </row>
    <row r="73" spans="1:21" ht="12.75" customHeight="1" x14ac:dyDescent="0.2">
      <c r="A73" s="124"/>
      <c r="B73" s="103"/>
      <c r="C73" s="104"/>
      <c r="D73" s="104"/>
      <c r="E73" s="105"/>
      <c r="F73" s="106"/>
      <c r="G73" s="105"/>
      <c r="H73" s="105"/>
      <c r="I73" s="113"/>
      <c r="J73" s="108"/>
      <c r="K73" s="104"/>
      <c r="L73" s="106"/>
      <c r="M73" s="108"/>
      <c r="N73" s="109">
        <f>IF(Operations!$E73&gt;1,Operations!$E73,IF(Operations!$D73=0,0,Operations!$F73/(VLOOKUP(Operations!$D73,ImpDepLookup,2,FALSE)-VLOOKUP(Operations!$D73,ImpDepLookup,3,FALSE)*Operations!$G73^0.5-VLOOKUP(Operations!$D73,ImpDepLookup,4,FALSE)*(Operations!$G73*(Operations!$G73*Operations!$H73/Operations!$I73)^0.5))^2))</f>
        <v>0</v>
      </c>
      <c r="O73" s="110">
        <f>IF(Operations!$C73="",0,(((Operations!$G73+1)*Operations!$H73/Operations!$I73/1000)^VLOOKUP(Operations!$C73,ImpRepairFac[],4,FALSE)-(Operations!$G73*Operations!$H73/Operations!$I73/1000)^VLOOKUP(Operations!$C73,ImpRepairFac[],4,FALSE))*Operations!$N73*VLOOKUP(Operations!$C73,ImpRepairFac[],3,FALSE)/Operations!$H73)</f>
        <v>0</v>
      </c>
      <c r="P73" s="111">
        <f>IF(Operations!$N73=0,0,Operations!$N73*(VLOOKUP(Operations!$D73,ImpDepLookup,2,FALSE)-VLOOKUP(Operations!$D73,ImpDepLookup,3,FALSE)*Operations!$G73^0.5-VLOOKUP(Operations!$D73,ImpDepLookup,4,FALSE)*(Operations!$G73*Operations!$H73/Operations!$I73)^0.5)^2)</f>
        <v>0</v>
      </c>
      <c r="Q73" s="111">
        <f>IF(Operations!$N73=0,0,Operations!$N73*(VLOOKUP(Operations!$D73,ImpDepLookup,2,FALSE)-VLOOKUP(Operations!$D73,ImpDepLookup,3,FALSE)*(Operations!$G73+1)^0.5-VLOOKUP(Operations!$D73,ImpDepLookup,4,FALSE)*(Operations!$G73*Operations!$H73/Operations!$I73)^0.5)^2)</f>
        <v>0</v>
      </c>
      <c r="R73" s="110">
        <f>IF(Operations!$N73=0,0,IF(Operations!$I73*Operations!$H73=0,0,(Operations!$P73-Operations!$Q73)/(Operations!$H73)))</f>
        <v>0</v>
      </c>
      <c r="S73" s="112">
        <f>IF(Operations!$H73=0,0,Operations!$P73*'General Variables'!$B$9/Operations!$H73)</f>
        <v>0</v>
      </c>
      <c r="T73" s="112">
        <f>IF(Operations!$H73=0,0,Operations!$P73*'General Variables'!$B$10/Operations!$H73)</f>
        <v>0</v>
      </c>
      <c r="U73" s="112">
        <f>SUM(Table3[[#This Row],[Depreciation per Unit]:[Opportunity Cost per Unit]])</f>
        <v>0</v>
      </c>
    </row>
    <row r="74" spans="1:21" ht="12.75" customHeight="1" x14ac:dyDescent="0.2">
      <c r="A74" s="124"/>
      <c r="B74" s="103"/>
      <c r="C74" s="104"/>
      <c r="D74" s="104"/>
      <c r="E74" s="105"/>
      <c r="F74" s="106"/>
      <c r="G74" s="105"/>
      <c r="H74" s="114"/>
      <c r="I74" s="113"/>
      <c r="J74" s="108"/>
      <c r="K74" s="104"/>
      <c r="L74" s="106"/>
      <c r="M74" s="108"/>
      <c r="N74" s="109">
        <f>IF(Operations!$E74&gt;1,Operations!$E74,IF(Operations!$D74=0,0,Operations!$F74/(VLOOKUP(Operations!$D74,ImpDepLookup,2,FALSE)-VLOOKUP(Operations!$D74,ImpDepLookup,3,FALSE)*Operations!$G74^0.5-VLOOKUP(Operations!$D74,ImpDepLookup,4,FALSE)*(Operations!$G74*(Operations!$G74*Operations!$H74/Operations!$I74)^0.5))^2))</f>
        <v>0</v>
      </c>
      <c r="O74" s="110">
        <f>IF(Operations!$C74="",0,(((Operations!$G74+1)*Operations!$H74/Operations!$I74/1000)^VLOOKUP(Operations!$C74,ImpRepairFac[],4,FALSE)-(Operations!$G74*Operations!$H74/Operations!$I74/1000)^VLOOKUP(Operations!$C74,ImpRepairFac[],4,FALSE))*Operations!$N74*VLOOKUP(Operations!$C74,ImpRepairFac[],3,FALSE)/Operations!$H74)</f>
        <v>0</v>
      </c>
      <c r="P74" s="111">
        <f>IF(Operations!$N74=0,0,Operations!$N74*(VLOOKUP(Operations!$D74,ImpDepLookup,2,FALSE)-VLOOKUP(Operations!$D74,ImpDepLookup,3,FALSE)*Operations!$G74^0.5-VLOOKUP(Operations!$D74,ImpDepLookup,4,FALSE)*(Operations!$G74*Operations!$H74/Operations!$I74)^0.5)^2)</f>
        <v>0</v>
      </c>
      <c r="Q74" s="111">
        <f>IF(Operations!$N74=0,0,Operations!$N74*(VLOOKUP(Operations!$D74,ImpDepLookup,2,FALSE)-VLOOKUP(Operations!$D74,ImpDepLookup,3,FALSE)*(Operations!$G74+1)^0.5-VLOOKUP(Operations!$D74,ImpDepLookup,4,FALSE)*(Operations!$G74*Operations!$H74/Operations!$I74)^0.5)^2)</f>
        <v>0</v>
      </c>
      <c r="R74" s="110">
        <f>IF(Operations!$N74=0,0,IF(Operations!$I74*Operations!$H74=0,0,(Operations!$P74-Operations!$Q74)/(Operations!$H74)))</f>
        <v>0</v>
      </c>
      <c r="S74" s="112">
        <f>IF(Operations!$H74=0,0,Operations!$P74*'General Variables'!$B$9/Operations!$H74)</f>
        <v>0</v>
      </c>
      <c r="T74" s="112">
        <f>IF(Operations!$H74=0,0,Operations!$P74*'General Variables'!$B$10/Operations!$H74)</f>
        <v>0</v>
      </c>
      <c r="U74" s="112">
        <f>SUM(Table3[[#This Row],[Depreciation per Unit]:[Opportunity Cost per Unit]])</f>
        <v>0</v>
      </c>
    </row>
    <row r="75" spans="1:21" ht="12.75" customHeight="1" x14ac:dyDescent="0.2">
      <c r="A75" s="124"/>
      <c r="B75" s="103"/>
      <c r="C75" s="104"/>
      <c r="D75" s="104"/>
      <c r="E75" s="105"/>
      <c r="F75" s="106"/>
      <c r="G75" s="105"/>
      <c r="H75" s="105"/>
      <c r="I75" s="107"/>
      <c r="J75" s="108"/>
      <c r="K75" s="104"/>
      <c r="L75" s="106"/>
      <c r="M75" s="108"/>
      <c r="N75" s="109">
        <f>IF(Operations!$E75&gt;1,Operations!$E75,IF(Operations!$D75=0,0,Operations!$F75/(VLOOKUP(Operations!$D75,ImpDepLookup,2,FALSE)-VLOOKUP(Operations!$D75,ImpDepLookup,3,FALSE)*Operations!$G75^0.5-VLOOKUP(Operations!$D75,ImpDepLookup,4,FALSE)*(Operations!$G75*(Operations!$G75*Operations!$H75/Operations!$I75)^0.5))^2))</f>
        <v>0</v>
      </c>
      <c r="O75" s="110">
        <f>IF(Operations!$C75="",0,(((Operations!$G75+1)*Operations!$H75/Operations!$I75/1000)^VLOOKUP(Operations!$C75,ImpRepairFac[],4,FALSE)-(Operations!$G75*Operations!$H75/Operations!$I75/1000)^VLOOKUP(Operations!$C75,ImpRepairFac[],4,FALSE))*Operations!$N75*VLOOKUP(Operations!$C75,ImpRepairFac[],3,FALSE)/Operations!$H75)</f>
        <v>0</v>
      </c>
      <c r="P75" s="111">
        <f>IF(Operations!$N75=0,0,Operations!$N75*(VLOOKUP(Operations!$D75,ImpDepLookup,2,FALSE)-VLOOKUP(Operations!$D75,ImpDepLookup,3,FALSE)*Operations!$G75^0.5-VLOOKUP(Operations!$D75,ImpDepLookup,4,FALSE)*(Operations!$G75*Operations!$H75/Operations!$I75)^0.5)^2)</f>
        <v>0</v>
      </c>
      <c r="Q75" s="111">
        <f>IF(Operations!$N75=0,0,Operations!$N75*(VLOOKUP(Operations!$D75,ImpDepLookup,2,FALSE)-VLOOKUP(Operations!$D75,ImpDepLookup,3,FALSE)*(Operations!$G75+1)^0.5-VLOOKUP(Operations!$D75,ImpDepLookup,4,FALSE)*(Operations!$G75*Operations!$H75/Operations!$I75)^0.5)^2)</f>
        <v>0</v>
      </c>
      <c r="R75" s="110">
        <f>IF(Operations!$N75=0,0,IF(Operations!$I75*Operations!$H75=0,0,(Operations!$P75-Operations!$Q75)/(Operations!$H75)))</f>
        <v>0</v>
      </c>
      <c r="S75" s="112">
        <f>IF(Operations!$H75=0,0,Operations!$P75*'General Variables'!$B$9/Operations!$H75)</f>
        <v>0</v>
      </c>
      <c r="T75" s="112">
        <f>IF(Operations!$H75=0,0,Operations!$P75*'General Variables'!$B$10/Operations!$H75)</f>
        <v>0</v>
      </c>
      <c r="U75" s="112">
        <f>SUM(Table3[[#This Row],[Depreciation per Unit]:[Opportunity Cost per Unit]])</f>
        <v>0</v>
      </c>
    </row>
    <row r="76" spans="1:21" ht="12.75" customHeight="1" x14ac:dyDescent="0.2">
      <c r="A76" s="124"/>
      <c r="B76" s="103"/>
      <c r="C76" s="104"/>
      <c r="D76" s="104"/>
      <c r="E76" s="105"/>
      <c r="F76" s="106"/>
      <c r="G76" s="105"/>
      <c r="H76" s="105"/>
      <c r="I76" s="107"/>
      <c r="J76" s="108"/>
      <c r="K76" s="104"/>
      <c r="L76" s="106"/>
      <c r="M76" s="108"/>
      <c r="N76" s="109">
        <f>IF(Operations!$E76&gt;1,Operations!$E76,IF(Operations!$D76=0,0,Operations!$F76/(VLOOKUP(Operations!$D76,ImpDepLookup,2,FALSE)-VLOOKUP(Operations!$D76,ImpDepLookup,3,FALSE)*Operations!$G76^0.5-VLOOKUP(Operations!$D76,ImpDepLookup,4,FALSE)*(Operations!$G76*(Operations!$G76*Operations!$H76/Operations!$I76)^0.5))^2))</f>
        <v>0</v>
      </c>
      <c r="O76" s="110">
        <f>IF(Operations!$C76="",0,(((Operations!$G76+1)*Operations!$H76/Operations!$I76/1000)^VLOOKUP(Operations!$C76,ImpRepairFac[],4,FALSE)-(Operations!$G76*Operations!$H76/Operations!$I76/1000)^VLOOKUP(Operations!$C76,ImpRepairFac[],4,FALSE))*Operations!$N76*VLOOKUP(Operations!$C76,ImpRepairFac[],3,FALSE)/Operations!$H76)</f>
        <v>0</v>
      </c>
      <c r="P76" s="111">
        <f>IF(Operations!$N76=0,0,Operations!$N76*(VLOOKUP(Operations!$D76,ImpDepLookup,2,FALSE)-VLOOKUP(Operations!$D76,ImpDepLookup,3,FALSE)*Operations!$G76^0.5-VLOOKUP(Operations!$D76,ImpDepLookup,4,FALSE)*(Operations!$G76*Operations!$H76/Operations!$I76)^0.5)^2)</f>
        <v>0</v>
      </c>
      <c r="Q76" s="111">
        <f>IF(Operations!$N76=0,0,Operations!$N76*(VLOOKUP(Operations!$D76,ImpDepLookup,2,FALSE)-VLOOKUP(Operations!$D76,ImpDepLookup,3,FALSE)*(Operations!$G76+1)^0.5-VLOOKUP(Operations!$D76,ImpDepLookup,4,FALSE)*(Operations!$G76*Operations!$H76/Operations!$I76)^0.5)^2)</f>
        <v>0</v>
      </c>
      <c r="R76" s="110">
        <f>IF(Operations!$N76=0,0,IF(Operations!$I76*Operations!$H76=0,0,(Operations!$P76-Operations!$Q76)/(Operations!$H76)))</f>
        <v>0</v>
      </c>
      <c r="S76" s="112">
        <f>IF(Operations!$H76=0,0,Operations!$P76*'General Variables'!$B$9/Operations!$H76)</f>
        <v>0</v>
      </c>
      <c r="T76" s="112">
        <f>IF(Operations!$H76=0,0,Operations!$P76*'General Variables'!$B$10/Operations!$H76)</f>
        <v>0</v>
      </c>
      <c r="U76" s="112">
        <f>SUM(Table3[[#This Row],[Depreciation per Unit]:[Opportunity Cost per Unit]])</f>
        <v>0</v>
      </c>
    </row>
    <row r="77" spans="1:21" ht="12.75" customHeight="1" x14ac:dyDescent="0.2">
      <c r="A77" s="124"/>
      <c r="B77" s="103"/>
      <c r="C77" s="104"/>
      <c r="D77" s="104"/>
      <c r="E77" s="105"/>
      <c r="F77" s="106"/>
      <c r="G77" s="105"/>
      <c r="H77" s="105"/>
      <c r="I77" s="107"/>
      <c r="J77" s="108"/>
      <c r="K77" s="104"/>
      <c r="L77" s="106"/>
      <c r="M77" s="108"/>
      <c r="N77" s="109">
        <f>IF(Operations!$E77&gt;1,Operations!$E77,IF(Operations!$D77=0,0,Operations!$F77/(VLOOKUP(Operations!$D77,ImpDepLookup,2,FALSE)-VLOOKUP(Operations!$D77,ImpDepLookup,3,FALSE)*Operations!$G77^0.5-VLOOKUP(Operations!$D77,ImpDepLookup,4,FALSE)*(Operations!$G77*(Operations!$G77*Operations!$H77/Operations!$I77)^0.5))^2))</f>
        <v>0</v>
      </c>
      <c r="O77" s="110">
        <f>IF(Operations!$C77="",0,(((Operations!$G77+1)*Operations!$H77/Operations!$I77/1000)^VLOOKUP(Operations!$C77,ImpRepairFac[],4,FALSE)-(Operations!$G77*Operations!$H77/Operations!$I77/1000)^VLOOKUP(Operations!$C77,ImpRepairFac[],4,FALSE))*Operations!$N77*VLOOKUP(Operations!$C77,ImpRepairFac[],3,FALSE)/Operations!$H77)</f>
        <v>0</v>
      </c>
      <c r="P77" s="111">
        <f>IF(Operations!$N77=0,0,Operations!$N77*(VLOOKUP(Operations!$D77,ImpDepLookup,2,FALSE)-VLOOKUP(Operations!$D77,ImpDepLookup,3,FALSE)*Operations!$G77^0.5-VLOOKUP(Operations!$D77,ImpDepLookup,4,FALSE)*(Operations!$G77*Operations!$H77/Operations!$I77)^0.5)^2)</f>
        <v>0</v>
      </c>
      <c r="Q77" s="111">
        <f>IF(Operations!$N77=0,0,Operations!$N77*(VLOOKUP(Operations!$D77,ImpDepLookup,2,FALSE)-VLOOKUP(Operations!$D77,ImpDepLookup,3,FALSE)*(Operations!$G77+1)^0.5-VLOOKUP(Operations!$D77,ImpDepLookup,4,FALSE)*(Operations!$G77*Operations!$H77/Operations!$I77)^0.5)^2)</f>
        <v>0</v>
      </c>
      <c r="R77" s="110">
        <f>IF(Operations!$N77=0,0,IF(Operations!$I77*Operations!$H77=0,0,(Operations!$P77-Operations!$Q77)/(Operations!$H77)))</f>
        <v>0</v>
      </c>
      <c r="S77" s="112">
        <f>IF(Operations!$H77=0,0,Operations!$P77*'General Variables'!$B$9/Operations!$H77)</f>
        <v>0</v>
      </c>
      <c r="T77" s="112">
        <f>IF(Operations!$H77=0,0,Operations!$P77*'General Variables'!$B$10/Operations!$H77)</f>
        <v>0</v>
      </c>
      <c r="U77" s="112">
        <f>SUM(Table3[[#This Row],[Depreciation per Unit]:[Opportunity Cost per Unit]])</f>
        <v>0</v>
      </c>
    </row>
    <row r="78" spans="1:21" ht="12.75" customHeight="1" x14ac:dyDescent="0.2">
      <c r="A78" s="124"/>
      <c r="B78" s="103"/>
      <c r="C78" s="104"/>
      <c r="D78" s="104"/>
      <c r="E78" s="105"/>
      <c r="F78" s="106"/>
      <c r="G78" s="105"/>
      <c r="H78" s="105"/>
      <c r="I78" s="107"/>
      <c r="J78" s="108"/>
      <c r="K78" s="104"/>
      <c r="L78" s="106"/>
      <c r="M78" s="108"/>
      <c r="N78" s="109">
        <f>IF(Operations!$E78&gt;1,Operations!$E78,IF(Operations!$D78=0,0,Operations!$F78/(VLOOKUP(Operations!$D78,ImpDepLookup,2,FALSE)-VLOOKUP(Operations!$D78,ImpDepLookup,3,FALSE)*Operations!$G78^0.5-VLOOKUP(Operations!$D78,ImpDepLookup,4,FALSE)*(Operations!$G78*(Operations!$G78*Operations!$H78/Operations!$I78)^0.5))^2))</f>
        <v>0</v>
      </c>
      <c r="O78" s="110">
        <f>IF(Operations!$C78="",0,(((Operations!$G78+1)*Operations!$H78/Operations!$I78/1000)^VLOOKUP(Operations!$C78,ImpRepairFac[],4,FALSE)-(Operations!$G78*Operations!$H78/Operations!$I78/1000)^VLOOKUP(Operations!$C78,ImpRepairFac[],4,FALSE))*Operations!$N78*VLOOKUP(Operations!$C78,ImpRepairFac[],3,FALSE)/Operations!$H78)</f>
        <v>0</v>
      </c>
      <c r="P78" s="111">
        <f>IF(Operations!$N78=0,0,Operations!$N78*(VLOOKUP(Operations!$D78,ImpDepLookup,2,FALSE)-VLOOKUP(Operations!$D78,ImpDepLookup,3,FALSE)*Operations!$G78^0.5-VLOOKUP(Operations!$D78,ImpDepLookup,4,FALSE)*(Operations!$G78*Operations!$H78/Operations!$I78)^0.5)^2)</f>
        <v>0</v>
      </c>
      <c r="Q78" s="111">
        <f>IF(Operations!$N78=0,0,Operations!$N78*(VLOOKUP(Operations!$D78,ImpDepLookup,2,FALSE)-VLOOKUP(Operations!$D78,ImpDepLookup,3,FALSE)*(Operations!$G78+1)^0.5-VLOOKUP(Operations!$D78,ImpDepLookup,4,FALSE)*(Operations!$G78*Operations!$H78/Operations!$I78)^0.5)^2)</f>
        <v>0</v>
      </c>
      <c r="R78" s="110">
        <f>IF(Operations!$N78=0,0,IF(Operations!$I78*Operations!$H78=0,0,(Operations!$P78-Operations!$Q78)/(Operations!$H78)))</f>
        <v>0</v>
      </c>
      <c r="S78" s="112">
        <f>IF(Operations!$H78=0,0,Operations!$P78*'General Variables'!$B$9/Operations!$H78)</f>
        <v>0</v>
      </c>
      <c r="T78" s="112">
        <f>IF(Operations!$H78=0,0,Operations!$P78*'General Variables'!$B$10/Operations!$H78)</f>
        <v>0</v>
      </c>
      <c r="U78" s="112">
        <f>SUM(Table3[[#This Row],[Depreciation per Unit]:[Opportunity Cost per Unit]])</f>
        <v>0</v>
      </c>
    </row>
    <row r="79" spans="1:21" ht="12.75" customHeight="1" x14ac:dyDescent="0.2">
      <c r="A79" s="124"/>
      <c r="B79" s="103"/>
      <c r="C79" s="104"/>
      <c r="D79" s="104"/>
      <c r="E79" s="105"/>
      <c r="F79" s="106"/>
      <c r="G79" s="105"/>
      <c r="H79" s="105"/>
      <c r="I79" s="107"/>
      <c r="J79" s="108"/>
      <c r="K79" s="104"/>
      <c r="L79" s="106"/>
      <c r="M79" s="108"/>
      <c r="N79" s="109">
        <f>IF(Operations!$E79&gt;1,Operations!$E79,IF(Operations!$D79=0,0,Operations!$F79/(VLOOKUP(Operations!$D79,ImpDepLookup,2,FALSE)-VLOOKUP(Operations!$D79,ImpDepLookup,3,FALSE)*Operations!$G79^0.5-VLOOKUP(Operations!$D79,ImpDepLookup,4,FALSE)*(Operations!$G79*(Operations!$G79*Operations!$H79/Operations!$I79)^0.5))^2))</f>
        <v>0</v>
      </c>
      <c r="O79" s="110">
        <f>IF(Operations!$C79="",0,(((Operations!$G79+1)*Operations!$H79/Operations!$I79/1000)^VLOOKUP(Operations!$C79,ImpRepairFac[],4,FALSE)-(Operations!$G79*Operations!$H79/Operations!$I79/1000)^VLOOKUP(Operations!$C79,ImpRepairFac[],4,FALSE))*Operations!$N79*VLOOKUP(Operations!$C79,ImpRepairFac[],3,FALSE)/Operations!$H79)</f>
        <v>0</v>
      </c>
      <c r="P79" s="111">
        <f>IF(Operations!$N79=0,0,Operations!$N79*(VLOOKUP(Operations!$D79,ImpDepLookup,2,FALSE)-VLOOKUP(Operations!$D79,ImpDepLookup,3,FALSE)*Operations!$G79^0.5-VLOOKUP(Operations!$D79,ImpDepLookup,4,FALSE)*(Operations!$G79*Operations!$H79/Operations!$I79)^0.5)^2)</f>
        <v>0</v>
      </c>
      <c r="Q79" s="111">
        <f>IF(Operations!$N79=0,0,Operations!$N79*(VLOOKUP(Operations!$D79,ImpDepLookup,2,FALSE)-VLOOKUP(Operations!$D79,ImpDepLookup,3,FALSE)*(Operations!$G79+1)^0.5-VLOOKUP(Operations!$D79,ImpDepLookup,4,FALSE)*(Operations!$G79*Operations!$H79/Operations!$I79)^0.5)^2)</f>
        <v>0</v>
      </c>
      <c r="R79" s="110">
        <f>IF(Operations!$N79=0,0,IF(Operations!$I79*Operations!$H79=0,0,(Operations!$P79-Operations!$Q79)/(Operations!$H79)))</f>
        <v>0</v>
      </c>
      <c r="S79" s="112">
        <f>IF(Operations!$H79=0,0,Operations!$P79*'General Variables'!$B$9/Operations!$H79)</f>
        <v>0</v>
      </c>
      <c r="T79" s="112">
        <f>IF(Operations!$H79=0,0,Operations!$P79*'General Variables'!$B$10/Operations!$H79)</f>
        <v>0</v>
      </c>
      <c r="U79" s="112">
        <f>SUM(Table3[[#This Row],[Depreciation per Unit]:[Opportunity Cost per Unit]])</f>
        <v>0</v>
      </c>
    </row>
    <row r="80" spans="1:21" ht="12.75" customHeight="1" x14ac:dyDescent="0.2">
      <c r="A80" s="124"/>
      <c r="B80" s="103"/>
      <c r="C80" s="104"/>
      <c r="D80" s="104"/>
      <c r="E80" s="105"/>
      <c r="F80" s="106"/>
      <c r="G80" s="105"/>
      <c r="H80" s="105"/>
      <c r="I80" s="107"/>
      <c r="J80" s="108"/>
      <c r="K80" s="104"/>
      <c r="L80" s="106"/>
      <c r="M80" s="108"/>
      <c r="N80" s="109">
        <f>IF(Operations!$E80&gt;1,Operations!$E80,IF(Operations!$D80=0,0,Operations!$F80/(VLOOKUP(Operations!$D80,ImpDepLookup,2,FALSE)-VLOOKUP(Operations!$D80,ImpDepLookup,3,FALSE)*Operations!$G80^0.5-VLOOKUP(Operations!$D80,ImpDepLookup,4,FALSE)*(Operations!$G80*(Operations!$G80*Operations!$H80/Operations!$I80)^0.5))^2))</f>
        <v>0</v>
      </c>
      <c r="O80" s="110">
        <f>IF(Operations!$C80="",0,(((Operations!$G80+1)*Operations!$H80/Operations!$I80/1000)^VLOOKUP(Operations!$C80,ImpRepairFac[],4,FALSE)-(Operations!$G80*Operations!$H80/Operations!$I80/1000)^VLOOKUP(Operations!$C80,ImpRepairFac[],4,FALSE))*Operations!$N80*VLOOKUP(Operations!$C80,ImpRepairFac[],3,FALSE)/Operations!$H80)</f>
        <v>0</v>
      </c>
      <c r="P80" s="111">
        <f>IF(Operations!$N80=0,0,Operations!$N80*(VLOOKUP(Operations!$D80,ImpDepLookup,2,FALSE)-VLOOKUP(Operations!$D80,ImpDepLookup,3,FALSE)*Operations!$G80^0.5-VLOOKUP(Operations!$D80,ImpDepLookup,4,FALSE)*(Operations!$G80*Operations!$H80/Operations!$I80)^0.5)^2)</f>
        <v>0</v>
      </c>
      <c r="Q80" s="111">
        <f>IF(Operations!$N80=0,0,Operations!$N80*(VLOOKUP(Operations!$D80,ImpDepLookup,2,FALSE)-VLOOKUP(Operations!$D80,ImpDepLookup,3,FALSE)*(Operations!$G80+1)^0.5-VLOOKUP(Operations!$D80,ImpDepLookup,4,FALSE)*(Operations!$G80*Operations!$H80/Operations!$I80)^0.5)^2)</f>
        <v>0</v>
      </c>
      <c r="R80" s="110">
        <f>IF(Operations!$N80=0,0,IF(Operations!$I80*Operations!$H80=0,0,(Operations!$P80-Operations!$Q80)/(Operations!$H80)))</f>
        <v>0</v>
      </c>
      <c r="S80" s="112">
        <f>IF(Operations!$H80=0,0,Operations!$P80*'General Variables'!$B$9/Operations!$H80)</f>
        <v>0</v>
      </c>
      <c r="T80" s="112">
        <f>IF(Operations!$H80=0,0,Operations!$P80*'General Variables'!$B$10/Operations!$H80)</f>
        <v>0</v>
      </c>
      <c r="U80" s="112">
        <f>SUM(Table3[[#This Row],[Depreciation per Unit]:[Opportunity Cost per Unit]])</f>
        <v>0</v>
      </c>
    </row>
    <row r="81" spans="1:21" ht="12.75" customHeight="1" x14ac:dyDescent="0.2">
      <c r="A81" s="124"/>
      <c r="B81" s="103"/>
      <c r="C81" s="104"/>
      <c r="D81" s="104"/>
      <c r="E81" s="105"/>
      <c r="F81" s="106"/>
      <c r="G81" s="105"/>
      <c r="H81" s="105"/>
      <c r="I81" s="107"/>
      <c r="J81" s="108"/>
      <c r="K81" s="104"/>
      <c r="L81" s="106"/>
      <c r="M81" s="108"/>
      <c r="N81" s="109">
        <f>IF(Operations!$E81&gt;1,Operations!$E81,IF(Operations!$D81=0,0,Operations!$F81/(VLOOKUP(Operations!$D81,ImpDepLookup,2,FALSE)-VLOOKUP(Operations!$D81,ImpDepLookup,3,FALSE)*Operations!$G81^0.5-VLOOKUP(Operations!$D81,ImpDepLookup,4,FALSE)*(Operations!$G81*(Operations!$G81*Operations!$H81/Operations!$I81)^0.5))^2))</f>
        <v>0</v>
      </c>
      <c r="O81" s="110">
        <f>IF(Operations!$C81="",0,(((Operations!$G81+1)*Operations!$H81/Operations!$I81/1000)^VLOOKUP(Operations!$C81,ImpRepairFac[],4,FALSE)-(Operations!$G81*Operations!$H81/Operations!$I81/1000)^VLOOKUP(Operations!$C81,ImpRepairFac[],4,FALSE))*Operations!$N81*VLOOKUP(Operations!$C81,ImpRepairFac[],3,FALSE)/Operations!$H81)</f>
        <v>0</v>
      </c>
      <c r="P81" s="111">
        <f>IF(Operations!$N81=0,0,Operations!$N81*(VLOOKUP(Operations!$D81,ImpDepLookup,2,FALSE)-VLOOKUP(Operations!$D81,ImpDepLookup,3,FALSE)*Operations!$G81^0.5-VLOOKUP(Operations!$D81,ImpDepLookup,4,FALSE)*(Operations!$G81*Operations!$H81/Operations!$I81)^0.5)^2)</f>
        <v>0</v>
      </c>
      <c r="Q81" s="111">
        <f>IF(Operations!$N81=0,0,Operations!$N81*(VLOOKUP(Operations!$D81,ImpDepLookup,2,FALSE)-VLOOKUP(Operations!$D81,ImpDepLookup,3,FALSE)*(Operations!$G81+1)^0.5-VLOOKUP(Operations!$D81,ImpDepLookup,4,FALSE)*(Operations!$G81*Operations!$H81/Operations!$I81)^0.5)^2)</f>
        <v>0</v>
      </c>
      <c r="R81" s="110">
        <f>IF(Operations!$N81=0,0,IF(Operations!$I81*Operations!$H81=0,0,(Operations!$P81-Operations!$Q81)/(Operations!$H81)))</f>
        <v>0</v>
      </c>
      <c r="S81" s="112">
        <f>IF(Operations!$H81=0,0,Operations!$P81*'General Variables'!$B$9/Operations!$H81)</f>
        <v>0</v>
      </c>
      <c r="T81" s="112">
        <f>IF(Operations!$H81=0,0,Operations!$P81*'General Variables'!$B$10/Operations!$H81)</f>
        <v>0</v>
      </c>
      <c r="U81" s="112">
        <f>SUM(Table3[[#This Row],[Depreciation per Unit]:[Opportunity Cost per Unit]])</f>
        <v>0</v>
      </c>
    </row>
    <row r="82" spans="1:21" ht="12.75" customHeight="1" x14ac:dyDescent="0.2">
      <c r="A82" s="124"/>
      <c r="B82" s="103"/>
      <c r="C82" s="104"/>
      <c r="D82" s="104"/>
      <c r="E82" s="105"/>
      <c r="F82" s="106"/>
      <c r="G82" s="105"/>
      <c r="H82" s="105"/>
      <c r="I82" s="107"/>
      <c r="J82" s="108"/>
      <c r="K82" s="104"/>
      <c r="L82" s="106"/>
      <c r="M82" s="108"/>
      <c r="N82" s="109">
        <f>IF(Operations!$E82&gt;1,Operations!$E82,IF(Operations!$D82=0,0,Operations!$F82/(VLOOKUP(Operations!$D82,ImpDepLookup,2,FALSE)-VLOOKUP(Operations!$D82,ImpDepLookup,3,FALSE)*Operations!$G82^0.5-VLOOKUP(Operations!$D82,ImpDepLookup,4,FALSE)*(Operations!$G82*(Operations!$G82*Operations!$H82/Operations!$I82)^0.5))^2))</f>
        <v>0</v>
      </c>
      <c r="O82" s="110">
        <f>IF(Operations!$C82="",0,(((Operations!$G82+1)*Operations!$H82/Operations!$I82/1000)^VLOOKUP(Operations!$C82,ImpRepairFac[],4,FALSE)-(Operations!$G82*Operations!$H82/Operations!$I82/1000)^VLOOKUP(Operations!$C82,ImpRepairFac[],4,FALSE))*Operations!$N82*VLOOKUP(Operations!$C82,ImpRepairFac[],3,FALSE)/Operations!$H82)</f>
        <v>0</v>
      </c>
      <c r="P82" s="111">
        <f>IF(Operations!$N82=0,0,Operations!$N82*(VLOOKUP(Operations!$D82,ImpDepLookup,2,FALSE)-VLOOKUP(Operations!$D82,ImpDepLookup,3,FALSE)*Operations!$G82^0.5-VLOOKUP(Operations!$D82,ImpDepLookup,4,FALSE)*(Operations!$G82*Operations!$H82/Operations!$I82)^0.5)^2)</f>
        <v>0</v>
      </c>
      <c r="Q82" s="111">
        <f>IF(Operations!$N82=0,0,Operations!$N82*(VLOOKUP(Operations!$D82,ImpDepLookup,2,FALSE)-VLOOKUP(Operations!$D82,ImpDepLookup,3,FALSE)*(Operations!$G82+1)^0.5-VLOOKUP(Operations!$D82,ImpDepLookup,4,FALSE)*(Operations!$G82*Operations!$H82/Operations!$I82)^0.5)^2)</f>
        <v>0</v>
      </c>
      <c r="R82" s="110">
        <f>IF(Operations!$N82=0,0,IF(Operations!$I82*Operations!$H82=0,0,(Operations!$P82-Operations!$Q82)/(Operations!$H82)))</f>
        <v>0</v>
      </c>
      <c r="S82" s="112">
        <f>IF(Operations!$H82=0,0,Operations!$P82*'General Variables'!$B$9/Operations!$H82)</f>
        <v>0</v>
      </c>
      <c r="T82" s="112">
        <f>IF(Operations!$H82=0,0,Operations!$P82*'General Variables'!$B$10/Operations!$H82)</f>
        <v>0</v>
      </c>
      <c r="U82" s="112">
        <f>SUM(Table3[[#This Row],[Depreciation per Unit]:[Opportunity Cost per Unit]])</f>
        <v>0</v>
      </c>
    </row>
    <row r="83" spans="1:21" ht="12.75" customHeight="1" x14ac:dyDescent="0.2">
      <c r="A83" s="124"/>
      <c r="B83" s="103"/>
      <c r="C83" s="104"/>
      <c r="D83" s="104"/>
      <c r="E83" s="105"/>
      <c r="F83" s="106"/>
      <c r="G83" s="105"/>
      <c r="H83" s="105"/>
      <c r="I83" s="107"/>
      <c r="J83" s="108"/>
      <c r="K83" s="104"/>
      <c r="L83" s="106"/>
      <c r="M83" s="108"/>
      <c r="N83" s="109">
        <f>IF(Operations!$E83&gt;1,Operations!$E83,IF(Operations!$D83=0,0,Operations!$F83/(VLOOKUP(Operations!$D83,ImpDepLookup,2,FALSE)-VLOOKUP(Operations!$D83,ImpDepLookup,3,FALSE)*Operations!$G83^0.5-VLOOKUP(Operations!$D83,ImpDepLookup,4,FALSE)*(Operations!$G83*(Operations!$G83*Operations!$H83/Operations!$I83)^0.5))^2))</f>
        <v>0</v>
      </c>
      <c r="O83" s="110">
        <f>IF(Operations!$C83="",0,(((Operations!$G83+1)*Operations!$H83/Operations!$I83/1000)^VLOOKUP(Operations!$C83,ImpRepairFac[],4,FALSE)-(Operations!$G83*Operations!$H83/Operations!$I83/1000)^VLOOKUP(Operations!$C83,ImpRepairFac[],4,FALSE))*Operations!$N83*VLOOKUP(Operations!$C83,ImpRepairFac[],3,FALSE)/Operations!$H83)</f>
        <v>0</v>
      </c>
      <c r="P83" s="111">
        <f>IF(Operations!$N83=0,0,Operations!$N83*(VLOOKUP(Operations!$D83,ImpDepLookup,2,FALSE)-VLOOKUP(Operations!$D83,ImpDepLookup,3,FALSE)*Operations!$G83^0.5-VLOOKUP(Operations!$D83,ImpDepLookup,4,FALSE)*(Operations!$G83*Operations!$H83/Operations!$I83)^0.5)^2)</f>
        <v>0</v>
      </c>
      <c r="Q83" s="111">
        <f>IF(Operations!$N83=0,0,Operations!$N83*(VLOOKUP(Operations!$D83,ImpDepLookup,2,FALSE)-VLOOKUP(Operations!$D83,ImpDepLookup,3,FALSE)*(Operations!$G83+1)^0.5-VLOOKUP(Operations!$D83,ImpDepLookup,4,FALSE)*(Operations!$G83*Operations!$H83/Operations!$I83)^0.5)^2)</f>
        <v>0</v>
      </c>
      <c r="R83" s="110">
        <f>IF(Operations!$N83=0,0,IF(Operations!$I83*Operations!$H83=0,0,(Operations!$P83-Operations!$Q83)/(Operations!$H83)))</f>
        <v>0</v>
      </c>
      <c r="S83" s="112">
        <f>IF(Operations!$H83=0,0,Operations!$P83*'General Variables'!$B$9/Operations!$H83)</f>
        <v>0</v>
      </c>
      <c r="T83" s="112">
        <f>IF(Operations!$H83=0,0,Operations!$P83*'General Variables'!$B$10/Operations!$H83)</f>
        <v>0</v>
      </c>
      <c r="U83" s="112">
        <f>SUM(Table3[[#This Row],[Depreciation per Unit]:[Opportunity Cost per Unit]])</f>
        <v>0</v>
      </c>
    </row>
    <row r="84" spans="1:21" ht="12.75" customHeight="1" x14ac:dyDescent="0.2">
      <c r="A84" s="124"/>
      <c r="B84" s="103"/>
      <c r="C84" s="104"/>
      <c r="D84" s="104"/>
      <c r="E84" s="105"/>
      <c r="F84" s="106"/>
      <c r="G84" s="105"/>
      <c r="H84" s="105"/>
      <c r="I84" s="107"/>
      <c r="J84" s="108"/>
      <c r="K84" s="104"/>
      <c r="L84" s="106"/>
      <c r="M84" s="108"/>
      <c r="N84" s="109">
        <f>IF(Operations!$E84&gt;1,Operations!$E84,IF(Operations!$D84=0,0,Operations!$F84/(VLOOKUP(Operations!$D84,ImpDepLookup,2,FALSE)-VLOOKUP(Operations!$D84,ImpDepLookup,3,FALSE)*Operations!$G84^0.5-VLOOKUP(Operations!$D84,ImpDepLookup,4,FALSE)*(Operations!$G84*(Operations!$G84*Operations!$H84/Operations!$I84)^0.5))^2))</f>
        <v>0</v>
      </c>
      <c r="O84" s="110">
        <f>IF(Operations!$C84="",0,(((Operations!$G84+1)*Operations!$H84/Operations!$I84/1000)^VLOOKUP(Operations!$C84,ImpRepairFac[],4,FALSE)-(Operations!$G84*Operations!$H84/Operations!$I84/1000)^VLOOKUP(Operations!$C84,ImpRepairFac[],4,FALSE))*Operations!$N84*VLOOKUP(Operations!$C84,ImpRepairFac[],3,FALSE)/Operations!$H84)</f>
        <v>0</v>
      </c>
      <c r="P84" s="111">
        <f>IF(Operations!$N84=0,0,Operations!$N84*(VLOOKUP(Operations!$D84,ImpDepLookup,2,FALSE)-VLOOKUP(Operations!$D84,ImpDepLookup,3,FALSE)*Operations!$G84^0.5-VLOOKUP(Operations!$D84,ImpDepLookup,4,FALSE)*(Operations!$G84*Operations!$H84/Operations!$I84)^0.5)^2)</f>
        <v>0</v>
      </c>
      <c r="Q84" s="111">
        <f>IF(Operations!$N84=0,0,Operations!$N84*(VLOOKUP(Operations!$D84,ImpDepLookup,2,FALSE)-VLOOKUP(Operations!$D84,ImpDepLookup,3,FALSE)*(Operations!$G84+1)^0.5-VLOOKUP(Operations!$D84,ImpDepLookup,4,FALSE)*(Operations!$G84*Operations!$H84/Operations!$I84)^0.5)^2)</f>
        <v>0</v>
      </c>
      <c r="R84" s="110">
        <f>IF(Operations!$N84=0,0,IF(Operations!$I84*Operations!$H84=0,0,(Operations!$P84-Operations!$Q84)/(Operations!$H84)))</f>
        <v>0</v>
      </c>
      <c r="S84" s="112">
        <f>IF(Operations!$H84=0,0,Operations!$P84*'General Variables'!$B$9/Operations!$H84)</f>
        <v>0</v>
      </c>
      <c r="T84" s="112">
        <f>IF(Operations!$H84=0,0,Operations!$P84*'General Variables'!$B$10/Operations!$H84)</f>
        <v>0</v>
      </c>
      <c r="U84" s="112">
        <f>SUM(Table3[[#This Row],[Depreciation per Unit]:[Opportunity Cost per Unit]])</f>
        <v>0</v>
      </c>
    </row>
    <row r="85" spans="1:21" ht="12.75" customHeight="1" x14ac:dyDescent="0.2">
      <c r="A85" s="124"/>
      <c r="B85" s="103"/>
      <c r="C85" s="104"/>
      <c r="D85" s="104"/>
      <c r="E85" s="105"/>
      <c r="F85" s="106"/>
      <c r="G85" s="105"/>
      <c r="H85" s="105"/>
      <c r="I85" s="107"/>
      <c r="J85" s="108"/>
      <c r="K85" s="104"/>
      <c r="L85" s="106"/>
      <c r="M85" s="108"/>
      <c r="N85" s="109">
        <f>IF(Operations!$E85&gt;1,Operations!$E85,IF(Operations!$D85=0,0,Operations!$F85/(VLOOKUP(Operations!$D85,ImpDepLookup,2,FALSE)-VLOOKUP(Operations!$D85,ImpDepLookup,3,FALSE)*Operations!$G85^0.5-VLOOKUP(Operations!$D85,ImpDepLookup,4,FALSE)*(Operations!$G85*(Operations!$G85*Operations!$H85/Operations!$I85)^0.5))^2))</f>
        <v>0</v>
      </c>
      <c r="O85" s="110">
        <f>IF(Operations!$C85="",0,(((Operations!$G85+1)*Operations!$H85/Operations!$I85/1000)^VLOOKUP(Operations!$C85,ImpRepairFac[],4,FALSE)-(Operations!$G85*Operations!$H85/Operations!$I85/1000)^VLOOKUP(Operations!$C85,ImpRepairFac[],4,FALSE))*Operations!$N85*VLOOKUP(Operations!$C85,ImpRepairFac[],3,FALSE)/Operations!$H85)</f>
        <v>0</v>
      </c>
      <c r="P85" s="111">
        <f>IF(Operations!$N85=0,0,Operations!$N85*(VLOOKUP(Operations!$D85,ImpDepLookup,2,FALSE)-VLOOKUP(Operations!$D85,ImpDepLookup,3,FALSE)*Operations!$G85^0.5-VLOOKUP(Operations!$D85,ImpDepLookup,4,FALSE)*(Operations!$G85*Operations!$H85/Operations!$I85)^0.5)^2)</f>
        <v>0</v>
      </c>
      <c r="Q85" s="111">
        <f>IF(Operations!$N85=0,0,Operations!$N85*(VLOOKUP(Operations!$D85,ImpDepLookup,2,FALSE)-VLOOKUP(Operations!$D85,ImpDepLookup,3,FALSE)*(Operations!$G85+1)^0.5-VLOOKUP(Operations!$D85,ImpDepLookup,4,FALSE)*(Operations!$G85*Operations!$H85/Operations!$I85)^0.5)^2)</f>
        <v>0</v>
      </c>
      <c r="R85" s="110">
        <f>IF(Operations!$N85=0,0,IF(Operations!$I85*Operations!$H85=0,0,(Operations!$P85-Operations!$Q85)/(Operations!$H85)))</f>
        <v>0</v>
      </c>
      <c r="S85" s="112">
        <f>IF(Operations!$H85=0,0,Operations!$P85*'General Variables'!$B$9/Operations!$H85)</f>
        <v>0</v>
      </c>
      <c r="T85" s="112">
        <f>IF(Operations!$H85=0,0,Operations!$P85*'General Variables'!$B$10/Operations!$H85)</f>
        <v>0</v>
      </c>
      <c r="U85" s="112">
        <f>SUM(Table3[[#This Row],[Depreciation per Unit]:[Opportunity Cost per Unit]])</f>
        <v>0</v>
      </c>
    </row>
    <row r="86" spans="1:21" ht="12.75" customHeight="1" x14ac:dyDescent="0.2">
      <c r="A86" s="124"/>
      <c r="B86" s="103"/>
      <c r="C86" s="104"/>
      <c r="D86" s="104"/>
      <c r="E86" s="105"/>
      <c r="F86" s="106"/>
      <c r="G86" s="105"/>
      <c r="H86" s="105"/>
      <c r="I86" s="107"/>
      <c r="J86" s="108"/>
      <c r="K86" s="104"/>
      <c r="L86" s="106"/>
      <c r="M86" s="108"/>
      <c r="N86" s="109">
        <f>IF(Operations!$E86&gt;1,Operations!$E86,IF(Operations!$D86=0,0,Operations!$F86/(VLOOKUP(Operations!$D86,ImpDepLookup,2,FALSE)-VLOOKUP(Operations!$D86,ImpDepLookup,3,FALSE)*Operations!$G86^0.5-VLOOKUP(Operations!$D86,ImpDepLookup,4,FALSE)*(Operations!$G86*(Operations!$G86*Operations!$H86/Operations!$I86)^0.5))^2))</f>
        <v>0</v>
      </c>
      <c r="O86" s="110">
        <f>IF(Operations!$C86="",0,(((Operations!$G86+1)*Operations!$H86/Operations!$I86/1000)^VLOOKUP(Operations!$C86,ImpRepairFac[],4,FALSE)-(Operations!$G86*Operations!$H86/Operations!$I86/1000)^VLOOKUP(Operations!$C86,ImpRepairFac[],4,FALSE))*Operations!$N86*VLOOKUP(Operations!$C86,ImpRepairFac[],3,FALSE)/Operations!$H86)</f>
        <v>0</v>
      </c>
      <c r="P86" s="111">
        <f>IF(Operations!$N86=0,0,Operations!$N86*(VLOOKUP(Operations!$D86,ImpDepLookup,2,FALSE)-VLOOKUP(Operations!$D86,ImpDepLookup,3,FALSE)*Operations!$G86^0.5-VLOOKUP(Operations!$D86,ImpDepLookup,4,FALSE)*(Operations!$G86*Operations!$H86/Operations!$I86)^0.5)^2)</f>
        <v>0</v>
      </c>
      <c r="Q86" s="111">
        <f>IF(Operations!$N86=0,0,Operations!$N86*(VLOOKUP(Operations!$D86,ImpDepLookup,2,FALSE)-VLOOKUP(Operations!$D86,ImpDepLookup,3,FALSE)*(Operations!$G86+1)^0.5-VLOOKUP(Operations!$D86,ImpDepLookup,4,FALSE)*(Operations!$G86*Operations!$H86/Operations!$I86)^0.5)^2)</f>
        <v>0</v>
      </c>
      <c r="R86" s="110">
        <f>IF(Operations!$N86=0,0,IF(Operations!$I86*Operations!$H86=0,0,(Operations!$P86-Operations!$Q86)/(Operations!$H86)))</f>
        <v>0</v>
      </c>
      <c r="S86" s="112">
        <f>IF(Operations!$H86=0,0,Operations!$P86*'General Variables'!$B$9/Operations!$H86)</f>
        <v>0</v>
      </c>
      <c r="T86" s="112">
        <f>IF(Operations!$H86=0,0,Operations!$P86*'General Variables'!$B$10/Operations!$H86)</f>
        <v>0</v>
      </c>
      <c r="U86" s="112">
        <f>SUM(Table3[[#This Row],[Depreciation per Unit]:[Opportunity Cost per Unit]])</f>
        <v>0</v>
      </c>
    </row>
    <row r="87" spans="1:21" ht="12.75" customHeight="1" x14ac:dyDescent="0.2">
      <c r="A87" s="124"/>
      <c r="B87" s="103"/>
      <c r="C87" s="104"/>
      <c r="D87" s="104"/>
      <c r="E87" s="105"/>
      <c r="F87" s="106"/>
      <c r="G87" s="105"/>
      <c r="H87" s="105"/>
      <c r="I87" s="107"/>
      <c r="J87" s="108"/>
      <c r="K87" s="104"/>
      <c r="L87" s="106"/>
      <c r="M87" s="108"/>
      <c r="N87" s="109">
        <f>IF(Operations!$E87&gt;1,Operations!$E87,IF(Operations!$D87=0,0,Operations!$F87/(VLOOKUP(Operations!$D87,ImpDepLookup,2,FALSE)-VLOOKUP(Operations!$D87,ImpDepLookup,3,FALSE)*Operations!$G87^0.5-VLOOKUP(Operations!$D87,ImpDepLookup,4,FALSE)*(Operations!$G87*(Operations!$G87*Operations!$H87/Operations!$I87)^0.5))^2))</f>
        <v>0</v>
      </c>
      <c r="O87" s="110">
        <f>IF(Operations!$C87="",0,(((Operations!$G87+1)*Operations!$H87/Operations!$I87/1000)^VLOOKUP(Operations!$C87,ImpRepairFac[],4,FALSE)-(Operations!$G87*Operations!$H87/Operations!$I87/1000)^VLOOKUP(Operations!$C87,ImpRepairFac[],4,FALSE))*Operations!$N87*VLOOKUP(Operations!$C87,ImpRepairFac[],3,FALSE)/Operations!$H87)</f>
        <v>0</v>
      </c>
      <c r="P87" s="111">
        <f>IF(Operations!$N87=0,0,Operations!$N87*(VLOOKUP(Operations!$D87,ImpDepLookup,2,FALSE)-VLOOKUP(Operations!$D87,ImpDepLookup,3,FALSE)*Operations!$G87^0.5-VLOOKUP(Operations!$D87,ImpDepLookup,4,FALSE)*(Operations!$G87*Operations!$H87/Operations!$I87)^0.5)^2)</f>
        <v>0</v>
      </c>
      <c r="Q87" s="111">
        <f>IF(Operations!$N87=0,0,Operations!$N87*(VLOOKUP(Operations!$D87,ImpDepLookup,2,FALSE)-VLOOKUP(Operations!$D87,ImpDepLookup,3,FALSE)*(Operations!$G87+1)^0.5-VLOOKUP(Operations!$D87,ImpDepLookup,4,FALSE)*(Operations!$G87*Operations!$H87/Operations!$I87)^0.5)^2)</f>
        <v>0</v>
      </c>
      <c r="R87" s="110">
        <f>IF(Operations!$N87=0,0,IF(Operations!$I87*Operations!$H87=0,0,(Operations!$P87-Operations!$Q87)/(Operations!$H87)))</f>
        <v>0</v>
      </c>
      <c r="S87" s="112">
        <f>IF(Operations!$H87=0,0,Operations!$P87*'General Variables'!$B$9/Operations!$H87)</f>
        <v>0</v>
      </c>
      <c r="T87" s="112">
        <f>IF(Operations!$H87=0,0,Operations!$P87*'General Variables'!$B$10/Operations!$H87)</f>
        <v>0</v>
      </c>
      <c r="U87" s="112">
        <f>SUM(Table3[[#This Row],[Depreciation per Unit]:[Opportunity Cost per Unit]])</f>
        <v>0</v>
      </c>
    </row>
    <row r="88" spans="1:21" ht="12.75" customHeight="1" x14ac:dyDescent="0.2">
      <c r="A88" s="124"/>
      <c r="B88" s="103"/>
      <c r="C88" s="104"/>
      <c r="D88" s="104"/>
      <c r="E88" s="105"/>
      <c r="F88" s="106"/>
      <c r="G88" s="105"/>
      <c r="H88" s="105"/>
      <c r="I88" s="107"/>
      <c r="J88" s="108"/>
      <c r="K88" s="104"/>
      <c r="L88" s="106"/>
      <c r="M88" s="108"/>
      <c r="N88" s="109">
        <f>IF(Operations!$E88&gt;1,Operations!$E88,IF(Operations!$D88=0,0,Operations!$F88/(VLOOKUP(Operations!$D88,ImpDepLookup,2,FALSE)-VLOOKUP(Operations!$D88,ImpDepLookup,3,FALSE)*Operations!$G88^0.5-VLOOKUP(Operations!$D88,ImpDepLookup,4,FALSE)*(Operations!$G88*(Operations!$G88*Operations!$H88/Operations!$I88)^0.5))^2))</f>
        <v>0</v>
      </c>
      <c r="O88" s="110">
        <f>IF(Operations!$C88="",0,(((Operations!$G88+1)*Operations!$H88/Operations!$I88/1000)^VLOOKUP(Operations!$C88,ImpRepairFac[],4,FALSE)-(Operations!$G88*Operations!$H88/Operations!$I88/1000)^VLOOKUP(Operations!$C88,ImpRepairFac[],4,FALSE))*Operations!$N88*VLOOKUP(Operations!$C88,ImpRepairFac[],3,FALSE)/Operations!$H88)</f>
        <v>0</v>
      </c>
      <c r="P88" s="111">
        <f>IF(Operations!$N88=0,0,Operations!$N88*(VLOOKUP(Operations!$D88,ImpDepLookup,2,FALSE)-VLOOKUP(Operations!$D88,ImpDepLookup,3,FALSE)*Operations!$G88^0.5-VLOOKUP(Operations!$D88,ImpDepLookup,4,FALSE)*(Operations!$G88*Operations!$H88/Operations!$I88)^0.5)^2)</f>
        <v>0</v>
      </c>
      <c r="Q88" s="111">
        <f>IF(Operations!$N88=0,0,Operations!$N88*(VLOOKUP(Operations!$D88,ImpDepLookup,2,FALSE)-VLOOKUP(Operations!$D88,ImpDepLookup,3,FALSE)*(Operations!$G88+1)^0.5-VLOOKUP(Operations!$D88,ImpDepLookup,4,FALSE)*(Operations!$G88*Operations!$H88/Operations!$I88)^0.5)^2)</f>
        <v>0</v>
      </c>
      <c r="R88" s="110">
        <f>IF(Operations!$N88=0,0,IF(Operations!$I88*Operations!$H88=0,0,(Operations!$P88-Operations!$Q88)/(Operations!$H88)))</f>
        <v>0</v>
      </c>
      <c r="S88" s="112">
        <f>IF(Operations!$H88=0,0,Operations!$P88*'General Variables'!$B$9/Operations!$H88)</f>
        <v>0</v>
      </c>
      <c r="T88" s="112">
        <f>IF(Operations!$H88=0,0,Operations!$P88*'General Variables'!$B$10/Operations!$H88)</f>
        <v>0</v>
      </c>
      <c r="U88" s="112">
        <f>SUM(Table3[[#This Row],[Depreciation per Unit]:[Opportunity Cost per Unit]])</f>
        <v>0</v>
      </c>
    </row>
    <row r="89" spans="1:21" ht="12.75" customHeight="1" x14ac:dyDescent="0.2">
      <c r="A89" s="124"/>
      <c r="B89" s="103"/>
      <c r="C89" s="104"/>
      <c r="D89" s="104"/>
      <c r="E89" s="105"/>
      <c r="F89" s="106"/>
      <c r="G89" s="105"/>
      <c r="H89" s="105"/>
      <c r="I89" s="107"/>
      <c r="J89" s="108"/>
      <c r="K89" s="104"/>
      <c r="L89" s="106"/>
      <c r="M89" s="108"/>
      <c r="N89" s="109">
        <f>IF(Operations!$E89&gt;1,Operations!$E89,IF(Operations!$D89=0,0,Operations!$F89/(VLOOKUP(Operations!$D89,ImpDepLookup,2,FALSE)-VLOOKUP(Operations!$D89,ImpDepLookup,3,FALSE)*Operations!$G89^0.5-VLOOKUP(Operations!$D89,ImpDepLookup,4,FALSE)*(Operations!$G89*(Operations!$G89*Operations!$H89/Operations!$I89)^0.5))^2))</f>
        <v>0</v>
      </c>
      <c r="O89" s="110">
        <f>IF(Operations!$C89="",0,(((Operations!$G89+1)*Operations!$H89/Operations!$I89/1000)^VLOOKUP(Operations!$C89,ImpRepairFac[],4,FALSE)-(Operations!$G89*Operations!$H89/Operations!$I89/1000)^VLOOKUP(Operations!$C89,ImpRepairFac[],4,FALSE))*Operations!$N89*VLOOKUP(Operations!$C89,ImpRepairFac[],3,FALSE)/Operations!$H89)</f>
        <v>0</v>
      </c>
      <c r="P89" s="111">
        <f>IF(Operations!$N89=0,0,Operations!$N89*(VLOOKUP(Operations!$D89,ImpDepLookup,2,FALSE)-VLOOKUP(Operations!$D89,ImpDepLookup,3,FALSE)*Operations!$G89^0.5-VLOOKUP(Operations!$D89,ImpDepLookup,4,FALSE)*(Operations!$G89*Operations!$H89/Operations!$I89)^0.5)^2)</f>
        <v>0</v>
      </c>
      <c r="Q89" s="111">
        <f>IF(Operations!$N89=0,0,Operations!$N89*(VLOOKUP(Operations!$D89,ImpDepLookup,2,FALSE)-VLOOKUP(Operations!$D89,ImpDepLookup,3,FALSE)*(Operations!$G89+1)^0.5-VLOOKUP(Operations!$D89,ImpDepLookup,4,FALSE)*(Operations!$G89*Operations!$H89/Operations!$I89)^0.5)^2)</f>
        <v>0</v>
      </c>
      <c r="R89" s="110">
        <f>IF(Operations!$N89=0,0,IF(Operations!$I89*Operations!$H89=0,0,(Operations!$P89-Operations!$Q89)/(Operations!$H89)))</f>
        <v>0</v>
      </c>
      <c r="S89" s="112">
        <f>IF(Operations!$H89=0,0,Operations!$P89*'General Variables'!$B$9/Operations!$H89)</f>
        <v>0</v>
      </c>
      <c r="T89" s="112">
        <f>IF(Operations!$H89=0,0,Operations!$P89*'General Variables'!$B$10/Operations!$H89)</f>
        <v>0</v>
      </c>
      <c r="U89" s="112">
        <f>SUM(Table3[[#This Row],[Depreciation per Unit]:[Opportunity Cost per Unit]])</f>
        <v>0</v>
      </c>
    </row>
    <row r="90" spans="1:21" ht="12.75" customHeight="1" x14ac:dyDescent="0.2">
      <c r="A90" s="124"/>
      <c r="B90" s="103"/>
      <c r="C90" s="104"/>
      <c r="D90" s="104"/>
      <c r="E90" s="105"/>
      <c r="F90" s="106"/>
      <c r="G90" s="105"/>
      <c r="H90" s="105"/>
      <c r="I90" s="107"/>
      <c r="J90" s="108"/>
      <c r="K90" s="104"/>
      <c r="L90" s="106"/>
      <c r="M90" s="108"/>
      <c r="N90" s="109">
        <f>IF(Operations!$E90&gt;1,Operations!$E90,IF(Operations!$D90=0,0,Operations!$F90/(VLOOKUP(Operations!$D90,ImpDepLookup,2,FALSE)-VLOOKUP(Operations!$D90,ImpDepLookup,3,FALSE)*Operations!$G90^0.5-VLOOKUP(Operations!$D90,ImpDepLookup,4,FALSE)*(Operations!$G90*(Operations!$G90*Operations!$H90/Operations!$I90)^0.5))^2))</f>
        <v>0</v>
      </c>
      <c r="O90" s="110">
        <f>IF(Operations!$C90="",0,(((Operations!$G90+1)*Operations!$H90/Operations!$I90/1000)^VLOOKUP(Operations!$C90,ImpRepairFac[],4,FALSE)-(Operations!$G90*Operations!$H90/Operations!$I90/1000)^VLOOKUP(Operations!$C90,ImpRepairFac[],4,FALSE))*Operations!$N90*VLOOKUP(Operations!$C90,ImpRepairFac[],3,FALSE)/Operations!$H90)</f>
        <v>0</v>
      </c>
      <c r="P90" s="111">
        <f>IF(Operations!$N90=0,0,Operations!$N90*(VLOOKUP(Operations!$D90,ImpDepLookup,2,FALSE)-VLOOKUP(Operations!$D90,ImpDepLookup,3,FALSE)*Operations!$G90^0.5-VLOOKUP(Operations!$D90,ImpDepLookup,4,FALSE)*(Operations!$G90*Operations!$H90/Operations!$I90)^0.5)^2)</f>
        <v>0</v>
      </c>
      <c r="Q90" s="111">
        <f>IF(Operations!$N90=0,0,Operations!$N90*(VLOOKUP(Operations!$D90,ImpDepLookup,2,FALSE)-VLOOKUP(Operations!$D90,ImpDepLookup,3,FALSE)*(Operations!$G90+1)^0.5-VLOOKUP(Operations!$D90,ImpDepLookup,4,FALSE)*(Operations!$G90*Operations!$H90/Operations!$I90)^0.5)^2)</f>
        <v>0</v>
      </c>
      <c r="R90" s="110">
        <f>IF(Operations!$N90=0,0,IF(Operations!$I90*Operations!$H90=0,0,(Operations!$P90-Operations!$Q90)/(Operations!$H90)))</f>
        <v>0</v>
      </c>
      <c r="S90" s="112">
        <f>IF(Operations!$H90=0,0,Operations!$P90*'General Variables'!$B$9/Operations!$H90)</f>
        <v>0</v>
      </c>
      <c r="T90" s="112">
        <f>IF(Operations!$H90=0,0,Operations!$P90*'General Variables'!$B$10/Operations!$H90)</f>
        <v>0</v>
      </c>
      <c r="U90" s="112">
        <f>SUM(Table3[[#This Row],[Depreciation per Unit]:[Opportunity Cost per Unit]])</f>
        <v>0</v>
      </c>
    </row>
    <row r="91" spans="1:21" ht="12.75" customHeight="1" x14ac:dyDescent="0.2">
      <c r="A91" s="124"/>
      <c r="B91" s="103"/>
      <c r="C91" s="104"/>
      <c r="D91" s="104"/>
      <c r="E91" s="105"/>
      <c r="F91" s="106"/>
      <c r="G91" s="105"/>
      <c r="H91" s="105"/>
      <c r="I91" s="107"/>
      <c r="J91" s="108"/>
      <c r="K91" s="104"/>
      <c r="L91" s="106"/>
      <c r="M91" s="108"/>
      <c r="N91" s="109">
        <f>IF(Operations!$E91&gt;1,Operations!$E91,IF(Operations!$D91=0,0,Operations!$F91/(VLOOKUP(Operations!$D91,ImpDepLookup,2,FALSE)-VLOOKUP(Operations!$D91,ImpDepLookup,3,FALSE)*Operations!$G91^0.5-VLOOKUP(Operations!$D91,ImpDepLookup,4,FALSE)*(Operations!$G91*(Operations!$G91*Operations!$H91/Operations!$I91)^0.5))^2))</f>
        <v>0</v>
      </c>
      <c r="O91" s="110">
        <f>IF(Operations!$C91="",0,(((Operations!$G91+1)*Operations!$H91/Operations!$I91/1000)^VLOOKUP(Operations!$C91,ImpRepairFac[],4,FALSE)-(Operations!$G91*Operations!$H91/Operations!$I91/1000)^VLOOKUP(Operations!$C91,ImpRepairFac[],4,FALSE))*Operations!$N91*VLOOKUP(Operations!$C91,ImpRepairFac[],3,FALSE)/Operations!$H91)</f>
        <v>0</v>
      </c>
      <c r="P91" s="111">
        <f>IF(Operations!$N91=0,0,Operations!$N91*(VLOOKUP(Operations!$D91,ImpDepLookup,2,FALSE)-VLOOKUP(Operations!$D91,ImpDepLookup,3,FALSE)*Operations!$G91^0.5-VLOOKUP(Operations!$D91,ImpDepLookup,4,FALSE)*(Operations!$G91*Operations!$H91/Operations!$I91)^0.5)^2)</f>
        <v>0</v>
      </c>
      <c r="Q91" s="111">
        <f>IF(Operations!$N91=0,0,Operations!$N91*(VLOOKUP(Operations!$D91,ImpDepLookup,2,FALSE)-VLOOKUP(Operations!$D91,ImpDepLookup,3,FALSE)*(Operations!$G91+1)^0.5-VLOOKUP(Operations!$D91,ImpDepLookup,4,FALSE)*(Operations!$G91*Operations!$H91/Operations!$I91)^0.5)^2)</f>
        <v>0</v>
      </c>
      <c r="R91" s="110">
        <f>IF(Operations!$N91=0,0,IF(Operations!$I91*Operations!$H91=0,0,(Operations!$P91-Operations!$Q91)/(Operations!$H91)))</f>
        <v>0</v>
      </c>
      <c r="S91" s="112">
        <f>IF(Operations!$H91=0,0,Operations!$P91*'General Variables'!$B$9/Operations!$H91)</f>
        <v>0</v>
      </c>
      <c r="T91" s="112">
        <f>IF(Operations!$H91=0,0,Operations!$P91*'General Variables'!$B$10/Operations!$H91)</f>
        <v>0</v>
      </c>
      <c r="U91" s="112">
        <f>SUM(Table3[[#This Row],[Depreciation per Unit]:[Opportunity Cost per Unit]])</f>
        <v>0</v>
      </c>
    </row>
    <row r="92" spans="1:21" ht="12.75" customHeight="1" x14ac:dyDescent="0.2">
      <c r="A92" s="124"/>
      <c r="B92" s="103"/>
      <c r="C92" s="104"/>
      <c r="D92" s="104"/>
      <c r="E92" s="105"/>
      <c r="F92" s="106"/>
      <c r="G92" s="105"/>
      <c r="H92" s="105"/>
      <c r="I92" s="107"/>
      <c r="J92" s="108"/>
      <c r="K92" s="104"/>
      <c r="L92" s="106"/>
      <c r="M92" s="108"/>
      <c r="N92" s="109">
        <f>IF(Operations!$E92&gt;1,Operations!$E92,IF(Operations!$D92=0,0,Operations!$F92/(VLOOKUP(Operations!$D92,ImpDepLookup,2,FALSE)-VLOOKUP(Operations!$D92,ImpDepLookup,3,FALSE)*Operations!$G92^0.5-VLOOKUP(Operations!$D92,ImpDepLookup,4,FALSE)*(Operations!$G92*(Operations!$G92*Operations!$H92/Operations!$I92)^0.5))^2))</f>
        <v>0</v>
      </c>
      <c r="O92" s="110">
        <f>IF(Operations!$C92="",0,(((Operations!$G92+1)*Operations!$H92/Operations!$I92/1000)^VLOOKUP(Operations!$C92,ImpRepairFac[],4,FALSE)-(Operations!$G92*Operations!$H92/Operations!$I92/1000)^VLOOKUP(Operations!$C92,ImpRepairFac[],4,FALSE))*Operations!$N92*VLOOKUP(Operations!$C92,ImpRepairFac[],3,FALSE)/Operations!$H92)</f>
        <v>0</v>
      </c>
      <c r="P92" s="111">
        <f>IF(Operations!$N92=0,0,Operations!$N92*(VLOOKUP(Operations!$D92,ImpDepLookup,2,FALSE)-VLOOKUP(Operations!$D92,ImpDepLookup,3,FALSE)*Operations!$G92^0.5-VLOOKUP(Operations!$D92,ImpDepLookup,4,FALSE)*(Operations!$G92*Operations!$H92/Operations!$I92)^0.5)^2)</f>
        <v>0</v>
      </c>
      <c r="Q92" s="111">
        <f>IF(Operations!$N92=0,0,Operations!$N92*(VLOOKUP(Operations!$D92,ImpDepLookup,2,FALSE)-VLOOKUP(Operations!$D92,ImpDepLookup,3,FALSE)*(Operations!$G92+1)^0.5-VLOOKUP(Operations!$D92,ImpDepLookup,4,FALSE)*(Operations!$G92*Operations!$H92/Operations!$I92)^0.5)^2)</f>
        <v>0</v>
      </c>
      <c r="R92" s="110">
        <f>IF(Operations!$N92=0,0,IF(Operations!$I92*Operations!$H92=0,0,(Operations!$P92-Operations!$Q92)/(Operations!$H92)))</f>
        <v>0</v>
      </c>
      <c r="S92" s="112">
        <f>IF(Operations!$H92=0,0,Operations!$P92*'General Variables'!$B$9/Operations!$H92)</f>
        <v>0</v>
      </c>
      <c r="T92" s="112">
        <f>IF(Operations!$H92=0,0,Operations!$P92*'General Variables'!$B$10/Operations!$H92)</f>
        <v>0</v>
      </c>
      <c r="U92" s="112">
        <f>SUM(Table3[[#This Row],[Depreciation per Unit]:[Opportunity Cost per Unit]])</f>
        <v>0</v>
      </c>
    </row>
    <row r="93" spans="1:21" ht="12.75" customHeight="1" x14ac:dyDescent="0.2">
      <c r="A93" s="124"/>
      <c r="B93" s="103"/>
      <c r="C93" s="104"/>
      <c r="D93" s="104"/>
      <c r="E93" s="105"/>
      <c r="F93" s="106"/>
      <c r="G93" s="105"/>
      <c r="H93" s="105"/>
      <c r="I93" s="107"/>
      <c r="J93" s="108"/>
      <c r="K93" s="104"/>
      <c r="L93" s="106"/>
      <c r="M93" s="108"/>
      <c r="N93" s="109">
        <f>IF(Operations!$E93&gt;1,Operations!$E93,IF(Operations!$D93=0,0,Operations!$F93/(VLOOKUP(Operations!$D93,ImpDepLookup,2,FALSE)-VLOOKUP(Operations!$D93,ImpDepLookup,3,FALSE)*Operations!$G93^0.5-VLOOKUP(Operations!$D93,ImpDepLookup,4,FALSE)*(Operations!$G93*(Operations!$G93*Operations!$H93/Operations!$I93)^0.5))^2))</f>
        <v>0</v>
      </c>
      <c r="O93" s="110">
        <f>IF(Operations!$C93="",0,(((Operations!$G93+1)*Operations!$H93/Operations!$I93/1000)^VLOOKUP(Operations!$C93,ImpRepairFac[],4,FALSE)-(Operations!$G93*Operations!$H93/Operations!$I93/1000)^VLOOKUP(Operations!$C93,ImpRepairFac[],4,FALSE))*Operations!$N93*VLOOKUP(Operations!$C93,ImpRepairFac[],3,FALSE)/Operations!$H93)</f>
        <v>0</v>
      </c>
      <c r="P93" s="111">
        <f>IF(Operations!$N93=0,0,Operations!$N93*(VLOOKUP(Operations!$D93,ImpDepLookup,2,FALSE)-VLOOKUP(Operations!$D93,ImpDepLookup,3,FALSE)*Operations!$G93^0.5-VLOOKUP(Operations!$D93,ImpDepLookup,4,FALSE)*(Operations!$G93*Operations!$H93/Operations!$I93)^0.5)^2)</f>
        <v>0</v>
      </c>
      <c r="Q93" s="111">
        <f>IF(Operations!$N93=0,0,Operations!$N93*(VLOOKUP(Operations!$D93,ImpDepLookup,2,FALSE)-VLOOKUP(Operations!$D93,ImpDepLookup,3,FALSE)*(Operations!$G93+1)^0.5-VLOOKUP(Operations!$D93,ImpDepLookup,4,FALSE)*(Operations!$G93*Operations!$H93/Operations!$I93)^0.5)^2)</f>
        <v>0</v>
      </c>
      <c r="R93" s="110">
        <f>IF(Operations!$N93=0,0,IF(Operations!$I93*Operations!$H93=0,0,(Operations!$P93-Operations!$Q93)/(Operations!$H93)))</f>
        <v>0</v>
      </c>
      <c r="S93" s="112">
        <f>IF(Operations!$H93=0,0,Operations!$P93*'General Variables'!$B$9/Operations!$H93)</f>
        <v>0</v>
      </c>
      <c r="T93" s="112">
        <f>IF(Operations!$H93=0,0,Operations!$P93*'General Variables'!$B$10/Operations!$H93)</f>
        <v>0</v>
      </c>
      <c r="U93" s="112">
        <f>SUM(Table3[[#This Row],[Depreciation per Unit]:[Opportunity Cost per Unit]])</f>
        <v>0</v>
      </c>
    </row>
    <row r="94" spans="1:21" ht="12.75" customHeight="1" x14ac:dyDescent="0.2">
      <c r="A94" s="124"/>
      <c r="B94" s="103"/>
      <c r="C94" s="104"/>
      <c r="D94" s="104"/>
      <c r="E94" s="105"/>
      <c r="F94" s="106"/>
      <c r="G94" s="105"/>
      <c r="H94" s="105"/>
      <c r="I94" s="107"/>
      <c r="J94" s="108"/>
      <c r="K94" s="104"/>
      <c r="L94" s="106"/>
      <c r="M94" s="108"/>
      <c r="N94" s="109">
        <f>IF(Operations!$E94&gt;1,Operations!$E94,IF(Operations!$D94=0,0,Operations!$F94/(VLOOKUP(Operations!$D94,ImpDepLookup,2,FALSE)-VLOOKUP(Operations!$D94,ImpDepLookup,3,FALSE)*Operations!$G94^0.5-VLOOKUP(Operations!$D94,ImpDepLookup,4,FALSE)*(Operations!$G94*(Operations!$G94*Operations!$H94/Operations!$I94)^0.5))^2))</f>
        <v>0</v>
      </c>
      <c r="O94" s="110">
        <f>IF(Operations!$C94="",0,(((Operations!$G94+1)*Operations!$H94/Operations!$I94/1000)^VLOOKUP(Operations!$C94,ImpRepairFac[],4,FALSE)-(Operations!$G94*Operations!$H94/Operations!$I94/1000)^VLOOKUP(Operations!$C94,ImpRepairFac[],4,FALSE))*Operations!$N94*VLOOKUP(Operations!$C94,ImpRepairFac[],3,FALSE)/Operations!$H94)</f>
        <v>0</v>
      </c>
      <c r="P94" s="111">
        <f>IF(Operations!$N94=0,0,Operations!$N94*(VLOOKUP(Operations!$D94,ImpDepLookup,2,FALSE)-VLOOKUP(Operations!$D94,ImpDepLookup,3,FALSE)*Operations!$G94^0.5-VLOOKUP(Operations!$D94,ImpDepLookup,4,FALSE)*(Operations!$G94*Operations!$H94/Operations!$I94)^0.5)^2)</f>
        <v>0</v>
      </c>
      <c r="Q94" s="111">
        <f>IF(Operations!$N94=0,0,Operations!$N94*(VLOOKUP(Operations!$D94,ImpDepLookup,2,FALSE)-VLOOKUP(Operations!$D94,ImpDepLookup,3,FALSE)*(Operations!$G94+1)^0.5-VLOOKUP(Operations!$D94,ImpDepLookup,4,FALSE)*(Operations!$G94*Operations!$H94/Operations!$I94)^0.5)^2)</f>
        <v>0</v>
      </c>
      <c r="R94" s="110">
        <f>IF(Operations!$N94=0,0,IF(Operations!$I94*Operations!$H94=0,0,(Operations!$P94-Operations!$Q94)/(Operations!$H94)))</f>
        <v>0</v>
      </c>
      <c r="S94" s="112">
        <f>IF(Operations!$H94=0,0,Operations!$P94*'General Variables'!$B$9/Operations!$H94)</f>
        <v>0</v>
      </c>
      <c r="T94" s="112">
        <f>IF(Operations!$H94=0,0,Operations!$P94*'General Variables'!$B$10/Operations!$H94)</f>
        <v>0</v>
      </c>
      <c r="U94" s="112">
        <f>SUM(Table3[[#This Row],[Depreciation per Unit]:[Opportunity Cost per Unit]])</f>
        <v>0</v>
      </c>
    </row>
    <row r="95" spans="1:21" ht="12.75" customHeight="1" x14ac:dyDescent="0.2">
      <c r="A95" s="124"/>
      <c r="B95" s="103"/>
      <c r="C95" s="104"/>
      <c r="D95" s="104"/>
      <c r="E95" s="105"/>
      <c r="F95" s="106"/>
      <c r="G95" s="105"/>
      <c r="H95" s="105"/>
      <c r="I95" s="107"/>
      <c r="J95" s="108"/>
      <c r="K95" s="104"/>
      <c r="L95" s="106"/>
      <c r="M95" s="108"/>
      <c r="N95" s="109">
        <f>IF(Operations!$E95&gt;1,Operations!$E95,IF(Operations!$D95=0,0,Operations!$F95/(VLOOKUP(Operations!$D95,ImpDepLookup,2,FALSE)-VLOOKUP(Operations!$D95,ImpDepLookup,3,FALSE)*Operations!$G95^0.5-VLOOKUP(Operations!$D95,ImpDepLookup,4,FALSE)*(Operations!$G95*(Operations!$G95*Operations!$H95/Operations!$I95)^0.5))^2))</f>
        <v>0</v>
      </c>
      <c r="O95" s="110">
        <f>IF(Operations!$C95="",0,(((Operations!$G95+1)*Operations!$H95/Operations!$I95/1000)^VLOOKUP(Operations!$C95,ImpRepairFac[],4,FALSE)-(Operations!$G95*Operations!$H95/Operations!$I95/1000)^VLOOKUP(Operations!$C95,ImpRepairFac[],4,FALSE))*Operations!$N95*VLOOKUP(Operations!$C95,ImpRepairFac[],3,FALSE)/Operations!$H95)</f>
        <v>0</v>
      </c>
      <c r="P95" s="111">
        <f>IF(Operations!$N95=0,0,Operations!$N95*(VLOOKUP(Operations!$D95,ImpDepLookup,2,FALSE)-VLOOKUP(Operations!$D95,ImpDepLookup,3,FALSE)*Operations!$G95^0.5-VLOOKUP(Operations!$D95,ImpDepLookup,4,FALSE)*(Operations!$G95*Operations!$H95/Operations!$I95)^0.5)^2)</f>
        <v>0</v>
      </c>
      <c r="Q95" s="111">
        <f>IF(Operations!$N95=0,0,Operations!$N95*(VLOOKUP(Operations!$D95,ImpDepLookup,2,FALSE)-VLOOKUP(Operations!$D95,ImpDepLookup,3,FALSE)*(Operations!$G95+1)^0.5-VLOOKUP(Operations!$D95,ImpDepLookup,4,FALSE)*(Operations!$G95*Operations!$H95/Operations!$I95)^0.5)^2)</f>
        <v>0</v>
      </c>
      <c r="R95" s="110">
        <f>IF(Operations!$N95=0,0,IF(Operations!$I95*Operations!$H95=0,0,(Operations!$P95-Operations!$Q95)/(Operations!$H95)))</f>
        <v>0</v>
      </c>
      <c r="S95" s="112">
        <f>IF(Operations!$H95=0,0,Operations!$P95*'General Variables'!$B$9/Operations!$H95)</f>
        <v>0</v>
      </c>
      <c r="T95" s="112">
        <f>IF(Operations!$H95=0,0,Operations!$P95*'General Variables'!$B$10/Operations!$H95)</f>
        <v>0</v>
      </c>
      <c r="U95" s="112">
        <f>SUM(Table3[[#This Row],[Depreciation per Unit]:[Opportunity Cost per Unit]])</f>
        <v>0</v>
      </c>
    </row>
    <row r="96" spans="1:21" ht="12.75" customHeight="1" x14ac:dyDescent="0.2">
      <c r="A96" s="124"/>
      <c r="B96" s="103"/>
      <c r="C96" s="104"/>
      <c r="D96" s="104"/>
      <c r="E96" s="105"/>
      <c r="F96" s="106"/>
      <c r="G96" s="105"/>
      <c r="H96" s="105"/>
      <c r="I96" s="107"/>
      <c r="J96" s="108"/>
      <c r="K96" s="104"/>
      <c r="L96" s="106"/>
      <c r="M96" s="119"/>
      <c r="N96" s="109">
        <f>IF(Operations!$E96&gt;1,Operations!$E96,IF(Operations!$D96=0,0,Operations!$F96/(VLOOKUP(Operations!$D96,ImpDepLookup,2,FALSE)-VLOOKUP(Operations!$D96,ImpDepLookup,3,FALSE)*Operations!$G96^0.5-VLOOKUP(Operations!$D96,ImpDepLookup,4,FALSE)*(Operations!$G96*(Operations!$G96*Operations!$H96/Operations!$I96)^0.5))^2))</f>
        <v>0</v>
      </c>
      <c r="O96" s="110">
        <f>IF(Operations!$C96="",0,(((Operations!$G96+1)*Operations!$H96/Operations!$I96/1000)^VLOOKUP(Operations!$C96,ImpRepairFac[],4,FALSE)-(Operations!$G96*Operations!$H96/Operations!$I96/1000)^VLOOKUP(Operations!$C96,ImpRepairFac[],4,FALSE))*Operations!$N96*VLOOKUP(Operations!$C96,ImpRepairFac[],3,FALSE)/Operations!$H96)</f>
        <v>0</v>
      </c>
      <c r="P96" s="111">
        <f>IF(Operations!$N96=0,0,Operations!$N96*(VLOOKUP(Operations!$D96,ImpDepLookup,2,FALSE)-VLOOKUP(Operations!$D96,ImpDepLookup,3,FALSE)*Operations!$G96^0.5-VLOOKUP(Operations!$D96,ImpDepLookup,4,FALSE)*(Operations!$G96*Operations!$H96/Operations!$I96)^0.5)^2)</f>
        <v>0</v>
      </c>
      <c r="Q96" s="111">
        <f>IF(Operations!$N96=0,0,Operations!$N96*(VLOOKUP(Operations!$D96,ImpDepLookup,2,FALSE)-VLOOKUP(Operations!$D96,ImpDepLookup,3,FALSE)*(Operations!$G96+1)^0.5-VLOOKUP(Operations!$D96,ImpDepLookup,4,FALSE)*(Operations!$G96*Operations!$H96/Operations!$I96)^0.5)^2)</f>
        <v>0</v>
      </c>
      <c r="R96" s="110">
        <f>IF(Operations!$N96=0,0,IF(Operations!$I96*Operations!$H96=0,0,(Operations!$P96-Operations!$Q96)/(Operations!$H96)))</f>
        <v>0</v>
      </c>
      <c r="S96" s="112">
        <f>IF(Operations!$H96=0,0,Operations!$P96*'General Variables'!$B$9/Operations!$H96)</f>
        <v>0</v>
      </c>
      <c r="T96" s="112">
        <f>IF(Operations!$H96=0,0,Operations!$P96*'General Variables'!$B$10/Operations!$H96)</f>
        <v>0</v>
      </c>
      <c r="U96" s="112">
        <f>SUM(Table3[[#This Row],[Depreciation per Unit]:[Opportunity Cost per Unit]])</f>
        <v>0</v>
      </c>
    </row>
    <row r="97" spans="1:21" ht="12.75" customHeight="1" x14ac:dyDescent="0.2">
      <c r="A97" s="124"/>
      <c r="B97" s="103"/>
      <c r="C97" s="104"/>
      <c r="D97" s="104"/>
      <c r="E97" s="105"/>
      <c r="F97" s="106"/>
      <c r="G97" s="105"/>
      <c r="H97" s="105"/>
      <c r="I97" s="107"/>
      <c r="J97" s="108"/>
      <c r="K97" s="104"/>
      <c r="L97" s="106"/>
      <c r="M97" s="119"/>
      <c r="N97" s="109">
        <f>IF(Operations!$E97&gt;1,Operations!$E97,IF(Operations!$D97=0,0,Operations!$F97/(VLOOKUP(Operations!$D97,ImpDepLookup,2,FALSE)-VLOOKUP(Operations!$D97,ImpDepLookup,3,FALSE)*Operations!$G97^0.5-VLOOKUP(Operations!$D97,ImpDepLookup,4,FALSE)*(Operations!$G97*(Operations!$G97*Operations!$H97/Operations!$I97)^0.5))^2))</f>
        <v>0</v>
      </c>
      <c r="O97" s="110">
        <f>IF(Operations!$C97="",0,(((Operations!$G97+1)*Operations!$H97/Operations!$I97/1000)^VLOOKUP(Operations!$C97,ImpRepairFac[],4,FALSE)-(Operations!$G97*Operations!$H97/Operations!$I97/1000)^VLOOKUP(Operations!$C97,ImpRepairFac[],4,FALSE))*Operations!$N97*VLOOKUP(Operations!$C97,ImpRepairFac[],3,FALSE)/Operations!$H97)</f>
        <v>0</v>
      </c>
      <c r="P97" s="111">
        <f>IF(Operations!$N97=0,0,Operations!$N97*(VLOOKUP(Operations!$D97,ImpDepLookup,2,FALSE)-VLOOKUP(Operations!$D97,ImpDepLookup,3,FALSE)*Operations!$G97^0.5-VLOOKUP(Operations!$D97,ImpDepLookup,4,FALSE)*(Operations!$G97*Operations!$H97/Operations!$I97)^0.5)^2)</f>
        <v>0</v>
      </c>
      <c r="Q97" s="111">
        <f>IF(Operations!$N97=0,0,Operations!$N97*(VLOOKUP(Operations!$D97,ImpDepLookup,2,FALSE)-VLOOKUP(Operations!$D97,ImpDepLookup,3,FALSE)*(Operations!$G97+1)^0.5-VLOOKUP(Operations!$D97,ImpDepLookup,4,FALSE)*(Operations!$G97*Operations!$H97/Operations!$I97)^0.5)^2)</f>
        <v>0</v>
      </c>
      <c r="R97" s="110">
        <f>IF(Operations!$N97=0,0,IF(Operations!$I97*Operations!$H97=0,0,(Operations!$P97-Operations!$Q97)/(Operations!$H97)))</f>
        <v>0</v>
      </c>
      <c r="S97" s="112">
        <f>IF(Operations!$H97=0,0,Operations!$P97*'General Variables'!$B$9/Operations!$H97)</f>
        <v>0</v>
      </c>
      <c r="T97" s="112">
        <f>IF(Operations!$H97=0,0,Operations!$P97*'General Variables'!$B$10/Operations!$H97)</f>
        <v>0</v>
      </c>
      <c r="U97" s="112">
        <f>SUM(Table3[[#This Row],[Depreciation per Unit]:[Opportunity Cost per Unit]])</f>
        <v>0</v>
      </c>
    </row>
    <row r="98" spans="1:21" ht="12.75" customHeight="1" x14ac:dyDescent="0.2">
      <c r="A98" s="124"/>
      <c r="B98" s="103"/>
      <c r="C98" s="104"/>
      <c r="D98" s="104"/>
      <c r="E98" s="104"/>
      <c r="F98" s="122"/>
      <c r="G98" s="104"/>
      <c r="H98" s="104"/>
      <c r="I98" s="123"/>
      <c r="J98" s="123"/>
      <c r="K98" s="104"/>
      <c r="L98" s="123"/>
      <c r="M98" s="119"/>
      <c r="N98" s="109">
        <f>IF(Operations!$E98&gt;1,Operations!$E98,IF(Operations!$D98=0,0,Operations!$F98/(VLOOKUP(Operations!$D98,ImpDepLookup,2,FALSE)-VLOOKUP(Operations!$D98,ImpDepLookup,3,FALSE)*Operations!$G98^0.5-VLOOKUP(Operations!$D98,ImpDepLookup,4,FALSE)*(Operations!$G98*(Operations!$G98*Operations!$H98/Operations!$I98)^0.5))^2))</f>
        <v>0</v>
      </c>
      <c r="O98" s="110">
        <f>IF(Operations!$C98="",0,(((Operations!$G98+1)*Operations!$H98/Operations!$I98/1000)^VLOOKUP(Operations!$C98,ImpRepairFac[],4,FALSE)-(Operations!$G98*Operations!$H98/Operations!$I98/1000)^VLOOKUP(Operations!$C98,ImpRepairFac[],4,FALSE))*Operations!$N98*VLOOKUP(Operations!$C98,ImpRepairFac[],3,FALSE)/Operations!$H98)</f>
        <v>0</v>
      </c>
      <c r="P98" s="111">
        <f>IF(Operations!$N98=0,0,Operations!$N98*(VLOOKUP(Operations!$D98,ImpDepLookup,2,FALSE)-VLOOKUP(Operations!$D98,ImpDepLookup,3,FALSE)*Operations!$G98^0.5-VLOOKUP(Operations!$D98,ImpDepLookup,4,FALSE)*(Operations!$G98*Operations!$H98/Operations!$I98)^0.5)^2)</f>
        <v>0</v>
      </c>
      <c r="Q98" s="111">
        <f>IF(Operations!$N98=0,0,Operations!$N98*(VLOOKUP(Operations!$D98,ImpDepLookup,2,FALSE)-VLOOKUP(Operations!$D98,ImpDepLookup,3,FALSE)*(Operations!$G98+1)^0.5-VLOOKUP(Operations!$D98,ImpDepLookup,4,FALSE)*(Operations!$G98*Operations!$H98/Operations!$I98)^0.5)^2)</f>
        <v>0</v>
      </c>
      <c r="R98" s="110">
        <f>IF(Operations!$N98=0,0,IF(Operations!$I98*Operations!$H98=0,0,(Operations!$P98-Operations!$Q98)/(Operations!$H98)))</f>
        <v>0</v>
      </c>
      <c r="S98" s="112">
        <f>IF(Operations!$H98=0,0,Operations!$P98*'General Variables'!$B$9/Operations!$H98)</f>
        <v>0</v>
      </c>
      <c r="T98" s="112">
        <f>IF(Operations!$H98=0,0,Operations!$P98*'General Variables'!$B$10/Operations!$H98)</f>
        <v>0</v>
      </c>
      <c r="U98" s="112">
        <f>SUM(Table3[[#This Row],[Depreciation per Unit]:[Opportunity Cost per Unit]])</f>
        <v>0</v>
      </c>
    </row>
    <row r="99" spans="1:21" ht="12.75" customHeight="1" x14ac:dyDescent="0.2">
      <c r="A99" s="124"/>
      <c r="B99" s="103"/>
      <c r="C99" s="104"/>
      <c r="D99" s="104"/>
      <c r="E99" s="104"/>
      <c r="F99" s="122"/>
      <c r="G99" s="104"/>
      <c r="H99" s="104"/>
      <c r="I99" s="123"/>
      <c r="J99" s="123"/>
      <c r="K99" s="104"/>
      <c r="L99" s="123"/>
      <c r="M99" s="119"/>
      <c r="N99" s="109">
        <f>IF(Operations!$E99&gt;1,Operations!$E99,IF(Operations!$D99=0,0,Operations!$F99/(VLOOKUP(Operations!$D99,ImpDepLookup,2,FALSE)-VLOOKUP(Operations!$D99,ImpDepLookup,3,FALSE)*Operations!$G99^0.5-VLOOKUP(Operations!$D99,ImpDepLookup,4,FALSE)*(Operations!$G99*(Operations!$G99*Operations!$H99/Operations!$I99)^0.5))^2))</f>
        <v>0</v>
      </c>
      <c r="O99" s="110">
        <f>IF(Operations!$C99="",0,(((Operations!$G99+1)*Operations!$H99/Operations!$I99/1000)^VLOOKUP(Operations!$C99,ImpRepairFac[],4,FALSE)-(Operations!$G99*Operations!$H99/Operations!$I99/1000)^VLOOKUP(Operations!$C99,ImpRepairFac[],4,FALSE))*Operations!$N99*VLOOKUP(Operations!$C99,ImpRepairFac[],3,FALSE)/Operations!$H99)</f>
        <v>0</v>
      </c>
      <c r="P99" s="111">
        <f>IF(Operations!$N99=0,0,Operations!$N99*(VLOOKUP(Operations!$D99,ImpDepLookup,2,FALSE)-VLOOKUP(Operations!$D99,ImpDepLookup,3,FALSE)*Operations!$G99^0.5-VLOOKUP(Operations!$D99,ImpDepLookup,4,FALSE)*(Operations!$G99*Operations!$H99/Operations!$I99)^0.5)^2)</f>
        <v>0</v>
      </c>
      <c r="Q99" s="111">
        <f>IF(Operations!$N99=0,0,Operations!$N99*(VLOOKUP(Operations!$D99,ImpDepLookup,2,FALSE)-VLOOKUP(Operations!$D99,ImpDepLookup,3,FALSE)*(Operations!$G99+1)^0.5-VLOOKUP(Operations!$D99,ImpDepLookup,4,FALSE)*(Operations!$G99*Operations!$H99/Operations!$I99)^0.5)^2)</f>
        <v>0</v>
      </c>
      <c r="R99" s="110">
        <f>IF(Operations!$N99=0,0,IF(Operations!$I99*Operations!$H99=0,0,(Operations!$P99-Operations!$Q99)/(Operations!$H99)))</f>
        <v>0</v>
      </c>
      <c r="S99" s="112">
        <f>IF(Operations!$H99=0,0,Operations!$P99*'General Variables'!$B$9/Operations!$H99)</f>
        <v>0</v>
      </c>
      <c r="T99" s="112">
        <f>IF(Operations!$H99=0,0,Operations!$P99*'General Variables'!$B$10/Operations!$H99)</f>
        <v>0</v>
      </c>
      <c r="U99" s="112">
        <f>SUM(Table3[[#This Row],[Depreciation per Unit]:[Opportunity Cost per Unit]])</f>
        <v>0</v>
      </c>
    </row>
    <row r="100" spans="1:21" ht="12.75" customHeight="1" x14ac:dyDescent="0.2">
      <c r="A100" s="124"/>
      <c r="B100" s="103"/>
      <c r="C100" s="104"/>
      <c r="D100" s="104"/>
      <c r="E100" s="105"/>
      <c r="F100" s="106"/>
      <c r="G100" s="105"/>
      <c r="H100" s="105"/>
      <c r="I100" s="107"/>
      <c r="J100" s="108"/>
      <c r="K100" s="104"/>
      <c r="L100" s="106"/>
      <c r="M100" s="119"/>
      <c r="N100" s="109">
        <f>IF(Operations!$E100&gt;1,Operations!$E100,IF(Operations!$D100=0,0,Operations!$F100/(VLOOKUP(Operations!$D100,ImpDepLookup,2,FALSE)-VLOOKUP(Operations!$D100,ImpDepLookup,3,FALSE)*Operations!$G100^0.5-VLOOKUP(Operations!$D100,ImpDepLookup,4,FALSE)*(Operations!$G100*(Operations!$G100*Operations!$H100/Operations!$I100)^0.5))^2))</f>
        <v>0</v>
      </c>
      <c r="O100" s="110">
        <f>IF(Operations!$C100="",0,(((Operations!$G100+1)*Operations!$H100/Operations!$I100/1000)^VLOOKUP(Operations!$C100,ImpRepairFac[],4,FALSE)-(Operations!$G100*Operations!$H100/Operations!$I100/1000)^VLOOKUP(Operations!$C100,ImpRepairFac[],4,FALSE))*Operations!$N100*VLOOKUP(Operations!$C100,ImpRepairFac[],3,FALSE)/Operations!$H100)</f>
        <v>0</v>
      </c>
      <c r="P100" s="111">
        <f>IF(Operations!$N100=0,0,Operations!$N100*(VLOOKUP(Operations!$D100,ImpDepLookup,2,FALSE)-VLOOKUP(Operations!$D100,ImpDepLookup,3,FALSE)*Operations!$G100^0.5-VLOOKUP(Operations!$D100,ImpDepLookup,4,FALSE)*(Operations!$G100*Operations!$H100/Operations!$I100)^0.5)^2)</f>
        <v>0</v>
      </c>
      <c r="Q100" s="111">
        <f>IF(Operations!$N100=0,0,Operations!$N100*(VLOOKUP(Operations!$D100,ImpDepLookup,2,FALSE)-VLOOKUP(Operations!$D100,ImpDepLookup,3,FALSE)*(Operations!$G100+1)^0.5-VLOOKUP(Operations!$D100,ImpDepLookup,4,FALSE)*(Operations!$G100*Operations!$H100/Operations!$I100)^0.5)^2)</f>
        <v>0</v>
      </c>
      <c r="R100" s="110">
        <f>IF(Operations!$N100=0,0,IF(Operations!$I100*Operations!$H100=0,0,(Operations!$P100-Operations!$Q100)/(Operations!$H100)))</f>
        <v>0</v>
      </c>
      <c r="S100" s="112">
        <f>IF(Operations!$H100=0,0,Operations!$P100*'General Variables'!$B$9/Operations!$H100)</f>
        <v>0</v>
      </c>
      <c r="T100" s="112">
        <f>IF(Operations!$H100=0,0,Operations!$P100*'General Variables'!$B$10/Operations!$H100)</f>
        <v>0</v>
      </c>
      <c r="U100" s="112">
        <f>SUM(Table3[[#This Row],[Depreciation per Unit]:[Opportunity Cost per Unit]])</f>
        <v>0</v>
      </c>
    </row>
    <row r="101" spans="1:21" ht="12.75" customHeight="1" x14ac:dyDescent="0.2">
      <c r="A101" s="124"/>
      <c r="B101" s="103"/>
      <c r="C101" s="104"/>
      <c r="D101" s="104"/>
      <c r="E101" s="104"/>
      <c r="F101" s="106"/>
      <c r="G101" s="105"/>
      <c r="H101" s="104"/>
      <c r="I101" s="108"/>
      <c r="J101" s="108"/>
      <c r="K101" s="104"/>
      <c r="L101" s="106"/>
      <c r="M101" s="119"/>
      <c r="N101" s="109">
        <f>IF(Operations!$E101&gt;1,Operations!$E101,IF(Operations!$D101=0,0,Operations!$F101/(VLOOKUP(Operations!$D101,ImpDepLookup,2,FALSE)-VLOOKUP(Operations!$D101,ImpDepLookup,3,FALSE)*Operations!$G101^0.5-VLOOKUP(Operations!$D101,ImpDepLookup,4,FALSE)*(Operations!$G101*(Operations!$G101*Operations!$H101/Operations!$I101)^0.5))^2))</f>
        <v>0</v>
      </c>
      <c r="O101" s="110">
        <f>IF(Operations!$C101="",0,(((Operations!$G101+1)*Operations!$H101/Operations!$I101/1000)^VLOOKUP(Operations!$C101,ImpRepairFac[],4,FALSE)-(Operations!$G101*Operations!$H101/Operations!$I101/1000)^VLOOKUP(Operations!$C101,ImpRepairFac[],4,FALSE))*Operations!$N101*VLOOKUP(Operations!$C101,ImpRepairFac[],3,FALSE)/Operations!$H101)</f>
        <v>0</v>
      </c>
      <c r="P101" s="111">
        <f>IF(Operations!$N101=0,0,Operations!$N101*(VLOOKUP(Operations!$D101,ImpDepLookup,2,FALSE)-VLOOKUP(Operations!$D101,ImpDepLookup,3,FALSE)*Operations!$G101^0.5-VLOOKUP(Operations!$D101,ImpDepLookup,4,FALSE)*(Operations!$G101*Operations!$H101/Operations!$I101)^0.5)^2)</f>
        <v>0</v>
      </c>
      <c r="Q101" s="111">
        <f>IF(Operations!$N101=0,0,Operations!$N101*(VLOOKUP(Operations!$D101,ImpDepLookup,2,FALSE)-VLOOKUP(Operations!$D101,ImpDepLookup,3,FALSE)*(Operations!$G101+1)^0.5-VLOOKUP(Operations!$D101,ImpDepLookup,4,FALSE)*(Operations!$G101*Operations!$H101/Operations!$I101)^0.5)^2)</f>
        <v>0</v>
      </c>
      <c r="R101" s="110">
        <f>IF(Operations!$N101=0,0,IF(Operations!$I101*Operations!$H101=0,0,(Operations!$P101-Operations!$Q101)/(Operations!$H101)))</f>
        <v>0</v>
      </c>
      <c r="S101" s="112">
        <f>IF(Operations!$H101=0,0,Operations!$P101*'General Variables'!$B$9/Operations!$H101)</f>
        <v>0</v>
      </c>
      <c r="T101" s="112">
        <f>IF(Operations!$H101=0,0,Operations!$P101*'General Variables'!$B$10/Operations!$H101)</f>
        <v>0</v>
      </c>
      <c r="U101" s="112">
        <f>SUM(Table3[[#This Row],[Depreciation per Unit]:[Opportunity Cost per Unit]])</f>
        <v>0</v>
      </c>
    </row>
    <row r="102" spans="1:21" x14ac:dyDescent="0.2">
      <c r="B102" s="53"/>
      <c r="C102" s="53"/>
      <c r="D102" s="53"/>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0">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65-Wheat</v>
      </c>
      <c r="B2" s="131"/>
      <c r="C2" s="132" t="s">
        <v>493</v>
      </c>
      <c r="D2" s="132"/>
      <c r="E2" s="131"/>
      <c r="I2" s="133" t="s">
        <v>419</v>
      </c>
      <c r="J2" s="131"/>
      <c r="L2" s="134" t="str">
        <f>'General Variables'!A3&amp;" "&amp;'General Variables'!B3</f>
        <v>Year 2016</v>
      </c>
      <c r="O2" s="135" t="s">
        <v>407</v>
      </c>
    </row>
    <row r="3" spans="1:15" hidden="1" x14ac:dyDescent="0.2">
      <c r="A3" s="130" t="s">
        <v>551</v>
      </c>
      <c r="B3" s="131"/>
      <c r="C3" s="132"/>
      <c r="D3" s="132"/>
      <c r="E3" s="131"/>
      <c r="G3" s="136"/>
      <c r="I3" s="131" t="s">
        <v>540</v>
      </c>
      <c r="O3" s="135" t="s">
        <v>406</v>
      </c>
    </row>
    <row r="4" spans="1:15" hidden="1" x14ac:dyDescent="0.2">
      <c r="A4" s="130">
        <v>45</v>
      </c>
      <c r="B4" s="130" t="s">
        <v>56</v>
      </c>
      <c r="C4" s="132"/>
      <c r="D4" s="132"/>
      <c r="E4" s="131"/>
      <c r="F4" s="131"/>
      <c r="G4" s="131"/>
      <c r="H4" s="131"/>
      <c r="I4" s="131"/>
      <c r="J4" s="134" t="s">
        <v>505</v>
      </c>
      <c r="K4" s="140"/>
      <c r="O4" s="135" t="str">
        <f>B4</f>
        <v>bu</v>
      </c>
    </row>
    <row r="5" spans="1:15" ht="15.75" hidden="1" x14ac:dyDescent="0.25">
      <c r="A5" s="217" t="str">
        <f ca="1" xml:space="preserve"> A2  &amp; IF(C2="","",  ", " &amp;C2 ) &amp; ", " &amp; A3 &amp; ", " &amp; I2</f>
        <v>65-Wheat, No-Till, Wheat after Row Crop, 50 bu Yield Goal, Dryland</v>
      </c>
      <c r="B5" s="217"/>
      <c r="C5" s="217"/>
      <c r="D5" s="217"/>
      <c r="E5" s="217"/>
      <c r="F5" s="217"/>
      <c r="G5" s="217"/>
      <c r="H5" s="217"/>
      <c r="I5" s="217"/>
      <c r="J5" s="217"/>
      <c r="K5" s="217"/>
      <c r="L5" s="217"/>
      <c r="O5" s="135"/>
    </row>
    <row r="6" spans="1:15" ht="15.75" hidden="1" x14ac:dyDescent="0.25">
      <c r="A6" s="191"/>
      <c r="B6" s="191"/>
      <c r="C6" s="191"/>
      <c r="D6" s="191"/>
      <c r="E6" s="191"/>
      <c r="F6" s="191"/>
      <c r="G6" s="191"/>
      <c r="H6" s="191"/>
      <c r="I6" s="191"/>
      <c r="J6" s="191"/>
      <c r="K6" s="191"/>
      <c r="L6" s="191"/>
      <c r="O6" s="135"/>
    </row>
    <row r="7" spans="1:15" ht="30" customHeight="1" x14ac:dyDescent="0.25">
      <c r="A7" s="217" t="str">
        <f ca="1">'General Variables'!B3 &amp; " Budget "  &amp; A2 &amp;", "  &amp; IF(C2=0,"", " " &amp; C2 &amp; ", ") &amp;  A3 &amp; IF(A4=""," ", " (") &amp; A4 &amp; " " &amp; B4 &amp; IF(A4="",""," Actual Yield)")</f>
        <v>2016 Budget 65-Wheat,  No-Till, Wheat after Row Crop, 50 bu Yield Goal (45 bu Actual Yield)</v>
      </c>
      <c r="B7" s="217"/>
      <c r="C7" s="217"/>
      <c r="D7" s="217"/>
      <c r="E7" s="217"/>
      <c r="F7" s="217"/>
      <c r="G7" s="217"/>
      <c r="H7" s="217"/>
      <c r="I7" s="217"/>
      <c r="J7" s="217"/>
      <c r="K7" s="217"/>
      <c r="L7" s="217"/>
      <c r="O7" s="135"/>
    </row>
    <row r="8" spans="1:15" ht="15.75" x14ac:dyDescent="0.25">
      <c r="A8" s="187" t="str">
        <f>IF(I2="Dryland","Dryland",I2 &amp; IF(J2="","",", "&amp;J2)&amp;IF(H3="","",", "&amp;H3&amp;" "&amp;I3))</f>
        <v>Dryland</v>
      </c>
      <c r="B8" s="130"/>
      <c r="C8" s="132"/>
      <c r="D8" s="132"/>
      <c r="E8" s="131"/>
      <c r="F8" s="131"/>
      <c r="G8" s="131"/>
      <c r="H8" s="131"/>
      <c r="I8" s="131"/>
      <c r="O8" s="135"/>
    </row>
    <row r="10" spans="1:15" s="140" customFormat="1" ht="22.5" customHeight="1" x14ac:dyDescent="0.2">
      <c r="B10" s="226" t="s">
        <v>71</v>
      </c>
      <c r="C10" s="225" t="s">
        <v>1</v>
      </c>
      <c r="D10" s="195"/>
      <c r="E10" s="225" t="str">
        <f>"Labor @ $" &amp;TEXT('General Variables'!B4,"#.00")&amp; " /Hr"</f>
        <v>Labor @ $20.00 /Hr</v>
      </c>
      <c r="F10" s="225" t="str">
        <f>"Fuel @ $" &amp; TEXT('General Variables'!B5,"#.00") &amp; " and Lube"</f>
        <v>Fuel @ $2.25 and Lube</v>
      </c>
      <c r="G10" s="228" t="s">
        <v>72</v>
      </c>
      <c r="H10" s="228"/>
      <c r="I10" s="228" t="s">
        <v>352</v>
      </c>
      <c r="J10" s="228"/>
      <c r="K10" s="228" t="s">
        <v>2</v>
      </c>
      <c r="L10" s="225" t="s">
        <v>359</v>
      </c>
    </row>
    <row r="11" spans="1:15" s="140" customFormat="1" ht="21.75" customHeight="1" thickBot="1" x14ac:dyDescent="0.25">
      <c r="B11" s="227"/>
      <c r="C11" s="224"/>
      <c r="D11" s="194" t="s">
        <v>70</v>
      </c>
      <c r="E11" s="224"/>
      <c r="F11" s="224"/>
      <c r="G11" s="196" t="s">
        <v>73</v>
      </c>
      <c r="H11" s="196" t="s">
        <v>75</v>
      </c>
      <c r="I11" s="196" t="s">
        <v>73</v>
      </c>
      <c r="J11" s="196" t="s">
        <v>75</v>
      </c>
      <c r="K11" s="229"/>
      <c r="L11" s="224"/>
    </row>
    <row r="12" spans="1:15" ht="13.5" thickTop="1" x14ac:dyDescent="0.2">
      <c r="A12" s="193">
        <v>1</v>
      </c>
      <c r="B12" s="201" t="s">
        <v>283</v>
      </c>
      <c r="C12" s="203">
        <v>1</v>
      </c>
      <c r="D12" s="197"/>
      <c r="E12" s="142">
        <f>IF(B12=0,"",IF(C12&gt;9999,"",ROUND('General Variables'!$B$4*VLOOKUP(B12,Operations!$A$2:$U$101,10,FALSE)/VLOOKUP(B12,Operations!$A$2:$U$101,9,FALSE)*C12,2)))</f>
        <v>1.83</v>
      </c>
      <c r="F12" s="142">
        <f>IF(B12=0,0,IF(C12&gt;9999,"",ROUND(IF(VLOOKUP(B12,Operations!$A$2:$U$101,12,FALSE)=0,VLOOKUP(B12,Operations!$A$2:$U$101,13,FALSE)*'General Variables'!$B$8,VLOOKUP(B12,Operations!$A$2:$U$101,12,FALSE)*'General Variables'!$B$7)/VLOOKUP(B12,Operations!$A$2:$U$101,9,FALSE)*C12,2)))</f>
        <v>1.31</v>
      </c>
      <c r="G12" s="142">
        <f>IF(B12=0,0,IF(C12&gt;9999,"",ROUND(VLOOKUP(VLOOKUP(B12,Operations!$A$2:$U$101,11,FALSE),PowerUnits[],10,FALSE)/VLOOKUP(B12,Operations!$A$2:$U$101,9,FALSE)*C12,2)))</f>
        <v>0.69</v>
      </c>
      <c r="H12" s="142">
        <f>IF(B12=0,"",IF(C12&gt;9999,"",ROUND(VLOOKUP($B12,Operations!$A$2:$U$101,15,FALSE)*C12,2)))</f>
        <v>1.57</v>
      </c>
      <c r="I12" s="142">
        <f>IF(B12=0,0,IF(C12&gt;9999,"",ROUND(VLOOKUP(VLOOKUP(B12,Operations!$A$2:$U$101,11,FALSE),PowerUnits[],16,FALSE)/VLOOKUP(B12,Operations!$A$2:$U$101,9,FALSE)*C12,2)))</f>
        <v>2.2999999999999998</v>
      </c>
      <c r="J12" s="142">
        <f>IF(B12=0,"",IF(C12&gt;9999,"",ROUND(VLOOKUP($B12,Operations!$A$2:$U$101,21,FALSE)*$C12,2)))</f>
        <v>3.54</v>
      </c>
      <c r="K12" s="142">
        <f>IF(C12&gt;9999,"",ROUND(SUM(E12:J12),2))</f>
        <v>11.24</v>
      </c>
      <c r="L12" s="143"/>
    </row>
    <row r="13" spans="1:15" x14ac:dyDescent="0.2">
      <c r="A13" s="193">
        <v>2</v>
      </c>
      <c r="B13" s="201" t="s">
        <v>51</v>
      </c>
      <c r="C13" s="203">
        <v>1</v>
      </c>
      <c r="D13" s="197"/>
      <c r="E13" s="142">
        <f>IF(B13=0,"",IF(C13&gt;9999,"",ROUND('General Variables'!$B$4*VLOOKUP(B13,Operations!$A$2:$U$101,10,FALSE)/VLOOKUP(B13,Operations!$A$2:$U$101,9,FALSE)*C13,2)))</f>
        <v>1</v>
      </c>
      <c r="F13" s="142">
        <f>IF(B13=0,0,IF(C13&gt;9999,"",ROUND(IF(VLOOKUP(B13,Operations!$A$2:$U$101,12,FALSE)=0,VLOOKUP(B13,Operations!$A$2:$U$101,13,FALSE)*'General Variables'!$B$8,VLOOKUP(B13,Operations!$A$2:$U$101,12,FALSE)*'General Variables'!$B$7)/VLOOKUP(B13,Operations!$A$2:$U$101,9,FALSE)*C13,2)))</f>
        <v>0.27</v>
      </c>
      <c r="G13" s="142">
        <f>IF(B13=0,0,IF(C13&gt;9999,"",ROUND(VLOOKUP(VLOOKUP(B13,Operations!$A$2:$U$101,11,FALSE),PowerUnits[],10,FALSE)/VLOOKUP(B13,Operations!$A$2:$U$101,9,FALSE)*C13,2)))</f>
        <v>0.33</v>
      </c>
      <c r="H13" s="142">
        <f>IF(B13=0,"",IF(C13&gt;9999,"",ROUND(VLOOKUP($B13,Operations!$A$2:$U$101,15,FALSE)*C13,2)))</f>
        <v>0.64</v>
      </c>
      <c r="I13" s="142">
        <f>IF(B13=0,0,IF(C13&gt;9999,"",ROUND(VLOOKUP(VLOOKUP(B13,Operations!$A$2:$U$101,11,FALSE),PowerUnits[],16,FALSE)/VLOOKUP(B13,Operations!$A$2:$U$101,9,FALSE)*C13,2)))</f>
        <v>1.1100000000000001</v>
      </c>
      <c r="J13" s="142">
        <f>IF(B13=0,"",IF(C13&gt;9999,"",ROUND(VLOOKUP($B13,Operations!$A$2:$U$101,21,FALSE)*$C13,2)))</f>
        <v>0.88</v>
      </c>
      <c r="K13" s="142">
        <f t="shared" ref="K13:K31" si="0">IF(C13&gt;9999,"",ROUND(SUM(E13:J13),2))</f>
        <v>4.2300000000000004</v>
      </c>
      <c r="L13" s="143"/>
    </row>
    <row r="14" spans="1:15" x14ac:dyDescent="0.2">
      <c r="A14" s="193">
        <v>3</v>
      </c>
      <c r="B14" s="201" t="s">
        <v>17</v>
      </c>
      <c r="C14" s="203" t="s">
        <v>3</v>
      </c>
      <c r="D14" s="197"/>
      <c r="E14" s="142" t="str">
        <f>IF(B14=0,"",IF(C14&gt;9999,"",ROUND('General Variables'!$B$4*VLOOKUP(B14,Operations!$A$2:$U$101,10,FALSE)/VLOOKUP(B14,Operations!$A$2:$U$101,9,FALSE)*C14,2)))</f>
        <v/>
      </c>
      <c r="F14" s="142" t="str">
        <f>IF(B14=0,0,IF(C14&gt;9999,"",ROUND(IF(VLOOKUP(B14,Operations!$A$2:$U$101,12,FALSE)=0,VLOOKUP(B14,Operations!$A$2:$U$101,13,FALSE)*'General Variables'!$B$8,VLOOKUP(B14,Operations!$A$2:$U$101,12,FALSE)*'General Variables'!$B$7)/VLOOKUP(B14,Operations!$A$2:$U$101,9,FALSE)*C14,2)))</f>
        <v/>
      </c>
      <c r="G14" s="142" t="str">
        <f>IF(B14=0,0,IF(C14&gt;9999,"",ROUND(VLOOKUP(VLOOKUP(B14,Operations!$A$2:$U$101,11,FALSE),PowerUnits[],10,FALSE)/VLOOKUP(B14,Operations!$A$2:$U$101,9,FALSE)*C14,2)))</f>
        <v/>
      </c>
      <c r="H14" s="142" t="str">
        <f>IF(B14=0,"",IF(C14&gt;9999,"",ROUND(VLOOKUP($B14,Operations!$A$2:$U$101,15,FALSE)*C14,2)))</f>
        <v/>
      </c>
      <c r="I14" s="142" t="str">
        <f>IF(B14=0,0,IF(C14&gt;9999,"",ROUND(VLOOKUP(VLOOKUP(B14,Operations!$A$2:$U$101,11,FALSE),PowerUnits[],16,FALSE)/VLOOKUP(B14,Operations!$A$2:$U$101,9,FALSE)*C14,2)))</f>
        <v/>
      </c>
      <c r="J14" s="142" t="str">
        <f>IF(B14=0,"",IF(C14&gt;9999,"",ROUND(VLOOKUP($B14,Operations!$A$2:$U$101,21,FALSE)*$C14,2)))</f>
        <v/>
      </c>
      <c r="K14" s="142" t="str">
        <f t="shared" si="0"/>
        <v/>
      </c>
      <c r="L14" s="143"/>
    </row>
    <row r="15" spans="1:15" x14ac:dyDescent="0.2">
      <c r="A15" s="193">
        <v>4</v>
      </c>
      <c r="B15" s="201" t="s">
        <v>17</v>
      </c>
      <c r="C15" s="203" t="s">
        <v>3</v>
      </c>
      <c r="D15" s="197"/>
      <c r="E15" s="142" t="str">
        <f>IF(B15=0,"",IF(C15&gt;9999,"",ROUND('General Variables'!$B$4*VLOOKUP(B15,Operations!$A$2:$U$101,10,FALSE)/VLOOKUP(B15,Operations!$A$2:$U$101,9,FALSE)*C15,2)))</f>
        <v/>
      </c>
      <c r="F15" s="142" t="str">
        <f>IF(B15=0,0,IF(C15&gt;9999,"",ROUND(IF(VLOOKUP(B15,Operations!$A$2:$U$101,12,FALSE)=0,VLOOKUP(B15,Operations!$A$2:$U$101,13,FALSE)*'General Variables'!$B$8,VLOOKUP(B15,Operations!$A$2:$U$101,12,FALSE)*'General Variables'!$B$7)/VLOOKUP(B15,Operations!$A$2:$U$101,9,FALSE)*C15,2)))</f>
        <v/>
      </c>
      <c r="G15" s="142" t="str">
        <f>IF(B15=0,0,IF(C15&gt;9999,"",ROUND(VLOOKUP(VLOOKUP(B15,Operations!$A$2:$U$101,11,FALSE),PowerUnits[],10,FALSE)/VLOOKUP(B15,Operations!$A$2:$U$101,9,FALSE)*C15,2)))</f>
        <v/>
      </c>
      <c r="H15" s="142" t="str">
        <f>IF(B15=0,"",IF(C15&gt;9999,"",ROUND(VLOOKUP($B15,Operations!$A$2:$U$101,15,FALSE)*C15,2)))</f>
        <v/>
      </c>
      <c r="I15" s="142" t="str">
        <f>IF(B15=0,0,IF(C15&gt;9999,"",ROUND(VLOOKUP(VLOOKUP(B15,Operations!$A$2:$U$101,11,FALSE),PowerUnits[],16,FALSE)/VLOOKUP(B15,Operations!$A$2:$U$101,9,FALSE)*C15,2)))</f>
        <v/>
      </c>
      <c r="J15" s="142" t="str">
        <f>IF(B15=0,"",IF(C15&gt;9999,"",ROUND(VLOOKUP($B15,Operations!$A$2:$U$101,21,FALSE)*$C15,2)))</f>
        <v/>
      </c>
      <c r="K15" s="142" t="str">
        <f t="shared" si="0"/>
        <v/>
      </c>
      <c r="L15" s="143"/>
    </row>
    <row r="16" spans="1:15" ht="13.5" customHeight="1" x14ac:dyDescent="0.2">
      <c r="A16" s="193">
        <v>5</v>
      </c>
      <c r="B16" s="201" t="s">
        <v>491</v>
      </c>
      <c r="C16" s="203">
        <v>1</v>
      </c>
      <c r="D16" s="197"/>
      <c r="E16" s="142">
        <f>IF(B16=0,"",IF(C16&gt;9999,"",ROUND('General Variables'!$B$4*VLOOKUP(B16,Operations!$A$2:$U$101,10,FALSE)/VLOOKUP(B16,Operations!$A$2:$U$101,9,FALSE)*C16,2)))</f>
        <v>3.14</v>
      </c>
      <c r="F16" s="142">
        <f>IF(B16=0,0,IF(C16&gt;9999,"",ROUND(IF(VLOOKUP(B16,Operations!$A$2:$U$101,12,FALSE)=0,VLOOKUP(B16,Operations!$A$2:$U$101,13,FALSE)*'General Variables'!$B$8,VLOOKUP(B16,Operations!$A$2:$U$101,12,FALSE)*'General Variables'!$B$7)/VLOOKUP(B16,Operations!$A$2:$U$101,9,FALSE)*C16,2)))</f>
        <v>3.87</v>
      </c>
      <c r="G16" s="142">
        <f>IF(B16=0,0,IF(C16&gt;9999,"",ROUND(VLOOKUP(VLOOKUP(B16,Operations!$A$2:$U$101,11,FALSE),PowerUnits[],10,FALSE)/VLOOKUP(B16,Operations!$A$2:$U$101,9,FALSE)*C16,2)))</f>
        <v>7.31</v>
      </c>
      <c r="H16" s="142">
        <f>IF(B16=0,"",IF(C16&gt;9999,"",ROUND(VLOOKUP($B16,Operations!$A$2:$U$101,15,FALSE)*C16,2)))</f>
        <v>0.93</v>
      </c>
      <c r="I16" s="142">
        <f>IF(B16=0,0,IF(C16&gt;9999,"",ROUND(VLOOKUP(VLOOKUP(B16,Operations!$A$2:$U$101,11,FALSE),PowerUnits[],16,FALSE)/VLOOKUP(B16,Operations!$A$2:$U$101,9,FALSE)*C16,2)))</f>
        <v>5.99</v>
      </c>
      <c r="J16" s="142">
        <f>IF(B16=0,"",IF(C16&gt;9999,"",ROUND(VLOOKUP($B16,Operations!$A$2:$U$101,21,FALSE)*$C16,2)))</f>
        <v>2.81</v>
      </c>
      <c r="K16" s="142">
        <f t="shared" si="0"/>
        <v>24.05</v>
      </c>
      <c r="L16" s="143"/>
    </row>
    <row r="17" spans="1:12" x14ac:dyDescent="0.2">
      <c r="A17" s="193">
        <v>6</v>
      </c>
      <c r="B17" s="201" t="s">
        <v>296</v>
      </c>
      <c r="C17" s="203" t="s">
        <v>3</v>
      </c>
      <c r="D17" s="197"/>
      <c r="E17" s="142" t="str">
        <f>IF(B17=0,"",IF(C17&gt;9999,"",ROUND('General Variables'!$B$4*VLOOKUP(B17,Operations!$A$2:$U$101,10,FALSE)/VLOOKUP(B17,Operations!$A$2:$U$101,9,FALSE)*C17,2)))</f>
        <v/>
      </c>
      <c r="F17" s="142" t="str">
        <f>IF(B17=0,0,IF(C17&gt;9999,"",ROUND(IF(VLOOKUP(B17,Operations!$A$2:$U$101,12,FALSE)=0,VLOOKUP(B17,Operations!$A$2:$U$101,13,FALSE)*'General Variables'!$B$8,VLOOKUP(B17,Operations!$A$2:$U$101,12,FALSE)*'General Variables'!$B$7)/VLOOKUP(B17,Operations!$A$2:$U$101,9,FALSE)*C17,2)))</f>
        <v/>
      </c>
      <c r="G17" s="142" t="str">
        <f>IF(B17=0,0,IF(C17&gt;9999,"",ROUND(VLOOKUP(VLOOKUP(B17,Operations!$A$2:$U$101,11,FALSE),PowerUnits[],10,FALSE)/VLOOKUP(B17,Operations!$A$2:$U$101,9,FALSE)*C17,2)))</f>
        <v/>
      </c>
      <c r="H17" s="142" t="str">
        <f>IF(B17=0,"",IF(C17&gt;9999,"",ROUND(VLOOKUP($B17,Operations!$A$2:$U$101,15,FALSE)*C17,2)))</f>
        <v/>
      </c>
      <c r="I17" s="142" t="str">
        <f>IF(B17=0,0,IF(C17&gt;9999,"",ROUND(VLOOKUP(VLOOKUP(B17,Operations!$A$2:$U$101,11,FALSE),PowerUnits[],16,FALSE)/VLOOKUP(B17,Operations!$A$2:$U$101,9,FALSE)*C17,2)))</f>
        <v/>
      </c>
      <c r="J17" s="142" t="str">
        <f>IF(B17=0,"",IF(C17&gt;9999,"",ROUND(VLOOKUP($B17,Operations!$A$2:$U$101,21,FALSE)*$C17,2)))</f>
        <v/>
      </c>
      <c r="K17" s="142" t="str">
        <f t="shared" si="0"/>
        <v/>
      </c>
      <c r="L17" s="143"/>
    </row>
    <row r="18" spans="1:12" hidden="1" x14ac:dyDescent="0.2">
      <c r="A18" s="193">
        <v>7</v>
      </c>
      <c r="B18" s="201"/>
      <c r="C18" s="203"/>
      <c r="D18" s="197"/>
      <c r="E18" s="142" t="str">
        <f>IF(B18=0,"",IF(C18&gt;9999,"",ROUND('General Variables'!$B$4*VLOOKUP(B18,Operations!$A$2:$U$101,10,FALSE)/VLOOKUP(B18,Operations!$A$2:$U$101,9,FALSE)*C18,2)))</f>
        <v/>
      </c>
      <c r="F18" s="142">
        <f>IF(B18=0,0,IF(C18&gt;9999,"",ROUND(IF(VLOOKUP(B18,Operations!$A$2:$U$101,12,FALSE)=0,VLOOKUP(B18,Operations!$A$2:$U$101,13,FALSE)*'General Variables'!$B$8,VLOOKUP(B18,Operations!$A$2:$U$101,12,FALSE)*'General Variables'!$B$7)/VLOOKUP(B18,Operations!$A$2:$U$101,9,FALSE)*C18,2)))</f>
        <v>0</v>
      </c>
      <c r="G18" s="142">
        <f>IF(B18=0,0,IF(C18&gt;9999,"",ROUND(VLOOKUP(VLOOKUP(B18,Operations!$A$2:$U$101,11,FALSE),PowerUnits[],10,FALSE)/VLOOKUP(B18,Operations!$A$2:$U$101,9,FALSE)*C18,2)))</f>
        <v>0</v>
      </c>
      <c r="H18" s="142" t="str">
        <f>IF(B18=0,"",IF(C18&gt;9999,"",ROUND(VLOOKUP($B18,Operations!$A$2:$U$101,15,FALSE)*C18,2)))</f>
        <v/>
      </c>
      <c r="I18" s="142">
        <f>IF(B18=0,0,IF(C18&gt;9999,"",ROUND(VLOOKUP(VLOOKUP(B18,Operations!$A$2:$U$101,11,FALSE),PowerUnits[],16,FALSE)/VLOOKUP(B18,Operations!$A$2:$U$101,9,FALSE)*C18,2)))</f>
        <v>0</v>
      </c>
      <c r="J18" s="142" t="str">
        <f>IF(B18=0,"",IF(C18&gt;9999,"",ROUND(VLOOKUP($B18,Operations!$A$2:$U$101,21,FALSE)*$C18,2)))</f>
        <v/>
      </c>
      <c r="K18" s="142">
        <f t="shared" si="0"/>
        <v>0</v>
      </c>
      <c r="L18" s="143"/>
    </row>
    <row r="19" spans="1:12" hidden="1" x14ac:dyDescent="0.2">
      <c r="A19" s="193">
        <v>8</v>
      </c>
      <c r="B19" s="201"/>
      <c r="C19" s="203"/>
      <c r="D19" s="197"/>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 t="shared" si="0"/>
        <v>0</v>
      </c>
      <c r="L19" s="143"/>
    </row>
    <row r="20" spans="1:12" hidden="1" x14ac:dyDescent="0.2">
      <c r="A20" s="193">
        <v>9</v>
      </c>
      <c r="B20" s="201"/>
      <c r="C20" s="203"/>
      <c r="D20" s="144"/>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3">
        <v>10</v>
      </c>
      <c r="B21" s="201"/>
      <c r="C21" s="203"/>
      <c r="D21" s="144"/>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3">
        <v>11</v>
      </c>
      <c r="B22" s="201"/>
      <c r="C22" s="203"/>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3">
        <v>12</v>
      </c>
      <c r="B23" s="201"/>
      <c r="C23" s="203"/>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3">
        <v>13</v>
      </c>
      <c r="B24" s="201"/>
      <c r="C24" s="203"/>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3">
        <v>14</v>
      </c>
      <c r="B25" s="202"/>
      <c r="C25" s="204"/>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3">
        <v>15</v>
      </c>
      <c r="B26" s="202"/>
      <c r="C26" s="204"/>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3">
        <v>16</v>
      </c>
      <c r="B27" s="202"/>
      <c r="C27" s="204"/>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3">
        <v>17</v>
      </c>
      <c r="B28" s="202"/>
      <c r="C28" s="204"/>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3">
        <v>18</v>
      </c>
      <c r="B29" s="202"/>
      <c r="C29" s="204"/>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3">
        <v>19</v>
      </c>
      <c r="B30" s="202"/>
      <c r="C30" s="204"/>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3">
        <v>20</v>
      </c>
      <c r="B31" s="202"/>
      <c r="C31" s="204"/>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3"/>
      <c r="B32" s="146"/>
      <c r="C32" s="147"/>
      <c r="D32" s="147"/>
      <c r="E32" s="148"/>
      <c r="F32" s="148"/>
      <c r="G32" s="148"/>
      <c r="H32" s="148"/>
      <c r="I32" s="148"/>
      <c r="J32" s="148"/>
      <c r="K32" s="148"/>
      <c r="L32" s="149"/>
    </row>
    <row r="33" spans="1:12" ht="13.5" thickTop="1" x14ac:dyDescent="0.2">
      <c r="C33" s="139" t="s">
        <v>74</v>
      </c>
      <c r="D33" s="139"/>
      <c r="E33" s="150">
        <f>SUM(E12:E31)</f>
        <v>5.9700000000000006</v>
      </c>
      <c r="F33" s="150">
        <f t="shared" ref="F33:K33" si="1">SUM(F12:F31)</f>
        <v>5.45</v>
      </c>
      <c r="G33" s="150">
        <f t="shared" si="1"/>
        <v>8.33</v>
      </c>
      <c r="H33" s="150">
        <f t="shared" si="1"/>
        <v>3.14</v>
      </c>
      <c r="I33" s="150">
        <f t="shared" si="1"/>
        <v>9.4</v>
      </c>
      <c r="J33" s="150">
        <f t="shared" si="1"/>
        <v>7.23</v>
      </c>
      <c r="K33" s="150">
        <f t="shared" si="1"/>
        <v>39.520000000000003</v>
      </c>
      <c r="L33" s="143"/>
    </row>
    <row r="35" spans="1:12" ht="24" customHeight="1" thickBot="1" x14ac:dyDescent="0.25">
      <c r="B35" s="136"/>
      <c r="C35" s="136"/>
      <c r="D35" s="136"/>
      <c r="E35" s="136"/>
      <c r="F35" s="224" t="s">
        <v>85</v>
      </c>
      <c r="G35" s="224" t="s">
        <v>82</v>
      </c>
      <c r="H35" s="225" t="s">
        <v>86</v>
      </c>
      <c r="I35" s="225"/>
      <c r="J35" s="224" t="s">
        <v>62</v>
      </c>
      <c r="L35" s="225" t="s">
        <v>359</v>
      </c>
    </row>
    <row r="36" spans="1:12" s="151" customFormat="1" ht="18.75" customHeight="1" thickTop="1" thickBot="1" x14ac:dyDescent="0.25">
      <c r="B36" s="152" t="s">
        <v>81</v>
      </c>
      <c r="C36" s="194"/>
      <c r="D36" s="194"/>
      <c r="E36" s="194"/>
      <c r="F36" s="224"/>
      <c r="G36" s="224"/>
      <c r="H36" s="189" t="s">
        <v>87</v>
      </c>
      <c r="I36" s="190" t="s">
        <v>70</v>
      </c>
      <c r="J36" s="224"/>
      <c r="K36" s="194" t="s">
        <v>83</v>
      </c>
      <c r="L36" s="224"/>
    </row>
    <row r="37" spans="1:12" ht="13.5" thickTop="1" x14ac:dyDescent="0.2">
      <c r="A37" s="175"/>
      <c r="B37" s="201" t="s">
        <v>6</v>
      </c>
      <c r="C37" s="218" t="str">
        <f>IF(B37=0,"",VLOOKUP($B37,Materials!$B$2:$H$127,2,FALSE))</f>
        <v>Fertilizer</v>
      </c>
      <c r="D37" s="218"/>
      <c r="E37" s="218"/>
      <c r="F37" s="203">
        <v>1</v>
      </c>
      <c r="G37" s="205">
        <v>1</v>
      </c>
      <c r="H37" s="206">
        <v>8</v>
      </c>
      <c r="I37" s="153" t="str">
        <f>IF($B37=0,"",VLOOKUP($B37,Materials!$B$2:$H$127,5,FALSE))</f>
        <v>gallon</v>
      </c>
      <c r="J37" s="142">
        <f>IF($B37=0,"",VLOOKUP($B37,Materials!$B$2:$H$127,7,FALSE))</f>
        <v>2.8</v>
      </c>
      <c r="K37" s="150">
        <f>IF(B37=0,0,ROUND(G37*H37*J37,2))</f>
        <v>22.4</v>
      </c>
      <c r="L37" s="143"/>
    </row>
    <row r="38" spans="1:12" x14ac:dyDescent="0.2">
      <c r="A38" s="175"/>
      <c r="B38" s="201" t="s">
        <v>574</v>
      </c>
      <c r="C38" s="218" t="str">
        <f>IF(B38=0,"",VLOOKUP($B38,Materials!$B$2:$H$127,2,FALSE))</f>
        <v>Seed</v>
      </c>
      <c r="D38" s="218"/>
      <c r="E38" s="218"/>
      <c r="F38" s="203">
        <v>1</v>
      </c>
      <c r="G38" s="205">
        <v>1</v>
      </c>
      <c r="H38" s="206">
        <v>90</v>
      </c>
      <c r="I38" s="153" t="str">
        <f>IF($B38=0,"",VLOOKUP($B38,Materials!$B$2:$H$127,5,FALSE))</f>
        <v>pound</v>
      </c>
      <c r="J38" s="142">
        <f>IF($B38=0,"",VLOOKUP($B38,Materials!$B$2:$H$127,7,FALSE))</f>
        <v>0.31</v>
      </c>
      <c r="K38" s="150">
        <f t="shared" ref="K38:K55" si="2">IF(B38=0,0,ROUND(G38*H38*J38,2))</f>
        <v>27.9</v>
      </c>
      <c r="L38" s="143"/>
    </row>
    <row r="39" spans="1:12" x14ac:dyDescent="0.2">
      <c r="A39" s="175"/>
      <c r="B39" s="201" t="s">
        <v>13</v>
      </c>
      <c r="C39" s="218" t="str">
        <f>IF(B39=0,"",VLOOKUP($B39,Materials!$B$2:$H$127,2,FALSE))</f>
        <v>Fertilizer</v>
      </c>
      <c r="D39" s="218"/>
      <c r="E39" s="218"/>
      <c r="F39" s="203">
        <v>2</v>
      </c>
      <c r="G39" s="205">
        <v>1</v>
      </c>
      <c r="H39" s="206">
        <v>75</v>
      </c>
      <c r="I39" s="153" t="str">
        <f>IF($B39=0,"",VLOOKUP($B39,Materials!$B$2:$H$127,5,FALSE))</f>
        <v>lbs N</v>
      </c>
      <c r="J39" s="142">
        <f>IF($B39=0,"",VLOOKUP($B39,Materials!$B$2:$H$127,7,FALSE))</f>
        <v>0.46666666666666662</v>
      </c>
      <c r="K39" s="150">
        <f t="shared" si="2"/>
        <v>35</v>
      </c>
      <c r="L39" s="143"/>
    </row>
    <row r="40" spans="1:12" x14ac:dyDescent="0.2">
      <c r="A40" s="175"/>
      <c r="B40" s="201" t="s">
        <v>432</v>
      </c>
      <c r="C40" s="218" t="str">
        <f>IF(B40=0,"",VLOOKUP($B40,Materials!$B$2:$H$127,2,FALSE))</f>
        <v>Herbicide</v>
      </c>
      <c r="D40" s="218"/>
      <c r="E40" s="218"/>
      <c r="F40" s="203">
        <v>2</v>
      </c>
      <c r="G40" s="205">
        <v>1</v>
      </c>
      <c r="H40" s="206">
        <v>0.3</v>
      </c>
      <c r="I40" s="153" t="str">
        <f>IF($B40=0,"",VLOOKUP($B40,Materials!$B$2:$H$127,5,FALSE))</f>
        <v>ounce</v>
      </c>
      <c r="J40" s="142">
        <f>IF($B40=0,"",VLOOKUP($B40,Materials!$B$2:$H$127,7,FALSE))</f>
        <v>9</v>
      </c>
      <c r="K40" s="150">
        <f t="shared" si="2"/>
        <v>2.7</v>
      </c>
      <c r="L40" s="143"/>
    </row>
    <row r="41" spans="1:12" x14ac:dyDescent="0.2">
      <c r="A41" s="175"/>
      <c r="B41" s="201" t="s">
        <v>12</v>
      </c>
      <c r="C41" s="218" t="str">
        <f>IF(B41=0,"",VLOOKUP($B41,Materials!$B$2:$H$127,2,FALSE))</f>
        <v>Herbicide</v>
      </c>
      <c r="D41" s="218"/>
      <c r="E41" s="218"/>
      <c r="F41" s="203">
        <v>2</v>
      </c>
      <c r="G41" s="205">
        <v>1</v>
      </c>
      <c r="H41" s="206">
        <v>0.5</v>
      </c>
      <c r="I41" s="153" t="str">
        <f>IF($B41=0,"",VLOOKUP($B41,Materials!$B$2:$H$127,5,FALSE))</f>
        <v>pint</v>
      </c>
      <c r="J41" s="142">
        <f>IF($B41=0,"",VLOOKUP($B41,Materials!$B$2:$H$127,7,FALSE))</f>
        <v>2.5625</v>
      </c>
      <c r="K41" s="150">
        <f t="shared" si="2"/>
        <v>1.28</v>
      </c>
      <c r="L41" s="143"/>
    </row>
    <row r="42" spans="1:12" x14ac:dyDescent="0.2">
      <c r="A42" s="175"/>
      <c r="B42" s="201" t="s">
        <v>41</v>
      </c>
      <c r="C42" s="218" t="str">
        <f>IF(B42=0,"",VLOOKUP($B42,Materials!$B$2:$H$127,2,FALSE))</f>
        <v>Additive</v>
      </c>
      <c r="D42" s="218"/>
      <c r="E42" s="218"/>
      <c r="F42" s="203">
        <v>2</v>
      </c>
      <c r="G42" s="205">
        <v>1</v>
      </c>
      <c r="H42" s="206">
        <v>6</v>
      </c>
      <c r="I42" s="153" t="str">
        <f>IF($B42=0,"",VLOOKUP($B42,Materials!$B$2:$H$127,5,FALSE))</f>
        <v>ounce</v>
      </c>
      <c r="J42" s="142">
        <f>IF($B42=0,"",VLOOKUP($B42,Materials!$B$2:$H$127,7,FALSE))</f>
        <v>0.171875</v>
      </c>
      <c r="K42" s="150">
        <f t="shared" si="2"/>
        <v>1.03</v>
      </c>
      <c r="L42" s="143"/>
    </row>
    <row r="43" spans="1:12" x14ac:dyDescent="0.2">
      <c r="A43" s="162" t="s">
        <v>381</v>
      </c>
      <c r="B43" s="201" t="s">
        <v>17</v>
      </c>
      <c r="C43" s="218" t="str">
        <f>IF(B43=0,"",VLOOKUP($B43,Materials!$B$2:$H$127,2,FALSE))</f>
        <v>Custom</v>
      </c>
      <c r="D43" s="218"/>
      <c r="E43" s="218"/>
      <c r="F43" s="203">
        <v>3</v>
      </c>
      <c r="G43" s="205">
        <v>0.2</v>
      </c>
      <c r="H43" s="206">
        <v>1</v>
      </c>
      <c r="I43" s="153" t="str">
        <f>IF($B43=0,"",VLOOKUP($B43,Materials!$B$2:$H$127,5,FALSE))</f>
        <v>acre</v>
      </c>
      <c r="J43" s="142">
        <f>IF($B43=0,"",VLOOKUP($B43,Materials!$B$2:$H$127,7,FALSE))</f>
        <v>9.5</v>
      </c>
      <c r="K43" s="150">
        <f t="shared" si="2"/>
        <v>1.9</v>
      </c>
      <c r="L43" s="143"/>
    </row>
    <row r="44" spans="1:12" x14ac:dyDescent="0.2">
      <c r="A44" s="162" t="s">
        <v>381</v>
      </c>
      <c r="B44" s="201" t="s">
        <v>54</v>
      </c>
      <c r="C44" s="218" t="str">
        <f>IF(B44=0,"",VLOOKUP($B44,Materials!$B$2:$H$127,2,FALSE))</f>
        <v>Fungicide</v>
      </c>
      <c r="D44" s="218"/>
      <c r="E44" s="218"/>
      <c r="F44" s="203">
        <v>3</v>
      </c>
      <c r="G44" s="205">
        <v>0.2</v>
      </c>
      <c r="H44" s="206">
        <v>4</v>
      </c>
      <c r="I44" s="153" t="str">
        <f>IF($B44=0,"",VLOOKUP($B44,Materials!$B$2:$H$127,5,FALSE))</f>
        <v>ounce</v>
      </c>
      <c r="J44" s="142">
        <f>IF($B44=0,"",VLOOKUP($B44,Materials!$B$2:$H$127,7,FALSE))</f>
        <v>0.8203125</v>
      </c>
      <c r="K44" s="150">
        <f t="shared" si="2"/>
        <v>0.66</v>
      </c>
      <c r="L44" s="143"/>
    </row>
    <row r="45" spans="1:12" x14ac:dyDescent="0.2">
      <c r="A45" s="162" t="s">
        <v>382</v>
      </c>
      <c r="B45" s="201" t="s">
        <v>17</v>
      </c>
      <c r="C45" s="218" t="str">
        <f>IF(B45=0,"",VLOOKUP($B45,Materials!$B$2:$H$127,2,FALSE))</f>
        <v>Custom</v>
      </c>
      <c r="D45" s="218"/>
      <c r="E45" s="218"/>
      <c r="F45" s="203">
        <v>4</v>
      </c>
      <c r="G45" s="205">
        <v>0.15</v>
      </c>
      <c r="H45" s="206">
        <v>1</v>
      </c>
      <c r="I45" s="153" t="str">
        <f>IF($B45=0,"",VLOOKUP($B45,Materials!$B$2:$H$127,5,FALSE))</f>
        <v>acre</v>
      </c>
      <c r="J45" s="142">
        <f>IF($B45=0,"",VLOOKUP($B45,Materials!$B$2:$H$127,7,FALSE))</f>
        <v>9.5</v>
      </c>
      <c r="K45" s="150">
        <f t="shared" si="2"/>
        <v>1.43</v>
      </c>
      <c r="L45" s="143"/>
    </row>
    <row r="46" spans="1:12" x14ac:dyDescent="0.2">
      <c r="A46" s="162" t="s">
        <v>382</v>
      </c>
      <c r="B46" s="201" t="s">
        <v>533</v>
      </c>
      <c r="C46" s="218" t="str">
        <f>IF(B46=0,"",VLOOKUP($B46,Materials!$B$2:$H$127,2,FALSE))</f>
        <v>Insecticide</v>
      </c>
      <c r="D46" s="218"/>
      <c r="E46" s="218"/>
      <c r="F46" s="203">
        <v>4</v>
      </c>
      <c r="G46" s="205">
        <v>0.1</v>
      </c>
      <c r="H46" s="206">
        <v>1</v>
      </c>
      <c r="I46" s="153" t="str">
        <f>IF($B46=0,"",VLOOKUP($B46,Materials!$B$2:$H$127,5,FALSE))</f>
        <v>pint</v>
      </c>
      <c r="J46" s="142">
        <f>IF($B46=0,"",VLOOKUP($B46,Materials!$B$2:$H$127,7,FALSE))</f>
        <v>6.875</v>
      </c>
      <c r="K46" s="150">
        <f t="shared" si="2"/>
        <v>0.69</v>
      </c>
      <c r="L46" s="143"/>
    </row>
    <row r="47" spans="1:12" x14ac:dyDescent="0.2">
      <c r="A47" s="162" t="s">
        <v>382</v>
      </c>
      <c r="B47" s="201" t="s">
        <v>384</v>
      </c>
      <c r="C47" s="218" t="str">
        <f>IF(B47=0,"",VLOOKUP($B47,Materials!$B$2:$H$127,2,FALSE))</f>
        <v>Insecticide</v>
      </c>
      <c r="D47" s="218"/>
      <c r="E47" s="218"/>
      <c r="F47" s="203">
        <v>4</v>
      </c>
      <c r="G47" s="205">
        <v>0.05</v>
      </c>
      <c r="H47" s="206">
        <v>1.92</v>
      </c>
      <c r="I47" s="153" t="str">
        <f>IF($B47=0,"",VLOOKUP($B47,Materials!$B$2:$H$127,5,FALSE))</f>
        <v>ounce</v>
      </c>
      <c r="J47" s="142">
        <f>IF($B47=0,"",VLOOKUP($B47,Materials!$B$2:$H$127,7,FALSE))</f>
        <v>2.96875</v>
      </c>
      <c r="K47" s="150">
        <f t="shared" si="2"/>
        <v>0.28999999999999998</v>
      </c>
      <c r="L47" s="143"/>
    </row>
    <row r="48" spans="1:12" x14ac:dyDescent="0.2">
      <c r="A48" s="175"/>
      <c r="B48" s="201" t="s">
        <v>586</v>
      </c>
      <c r="C48" s="218" t="str">
        <f>IF(B48=0,"",VLOOKUP($B48,Materials!$B$2:$H$127,2,FALSE))</f>
        <v>Custom</v>
      </c>
      <c r="D48" s="218"/>
      <c r="E48" s="218"/>
      <c r="F48" s="203">
        <v>5</v>
      </c>
      <c r="G48" s="205">
        <v>1</v>
      </c>
      <c r="H48" s="206">
        <f>$A$4</f>
        <v>45</v>
      </c>
      <c r="I48" s="153" t="str">
        <f>IF($B48=0,"",VLOOKUP($B48,Materials!$B$2:$H$127,5,FALSE))</f>
        <v>bushel</v>
      </c>
      <c r="J48" s="142">
        <f>IF($B48=0,"",VLOOKUP($B48,Materials!$B$2:$H$127,7,FALSE))</f>
        <v>0.11</v>
      </c>
      <c r="K48" s="150">
        <f t="shared" si="2"/>
        <v>4.95</v>
      </c>
      <c r="L48" s="143"/>
    </row>
    <row r="49" spans="1:12" x14ac:dyDescent="0.2">
      <c r="A49" s="180"/>
      <c r="B49" s="201" t="s">
        <v>538</v>
      </c>
      <c r="C49" s="218" t="str">
        <f>IF(B49=0,"",VLOOKUP($B49,Materials!$B$2:$H$127,2,FALSE))</f>
        <v>Scouting</v>
      </c>
      <c r="D49" s="218"/>
      <c r="E49" s="218"/>
      <c r="F49" s="203"/>
      <c r="G49" s="205">
        <v>1</v>
      </c>
      <c r="H49" s="206">
        <v>1</v>
      </c>
      <c r="I49" s="153" t="str">
        <f>IF($B49=0,"",VLOOKUP($B49,Materials!$B$2:$H$127,5,FALSE))</f>
        <v>acre</v>
      </c>
      <c r="J49" s="142">
        <f>IF($B49=0,"",VLOOKUP($B49,Materials!$B$2:$H$127,7,FALSE))</f>
        <v>7</v>
      </c>
      <c r="K49" s="150">
        <f t="shared" si="2"/>
        <v>7</v>
      </c>
      <c r="L49" s="143"/>
    </row>
    <row r="50" spans="1:12" hidden="1" x14ac:dyDescent="0.2">
      <c r="A50" s="175"/>
      <c r="B50" s="201"/>
      <c r="C50" s="218" t="str">
        <f>IF(B50=0,"",VLOOKUP($B50,Materials!$B$2:$H$127,2,FALSE))</f>
        <v/>
      </c>
      <c r="D50" s="218"/>
      <c r="E50" s="218"/>
      <c r="F50" s="203"/>
      <c r="G50" s="205"/>
      <c r="H50" s="206"/>
      <c r="I50" s="153" t="str">
        <f>IF($B50=0,"",VLOOKUP($B50,Materials!$B$2:$H$127,5,FALSE))</f>
        <v/>
      </c>
      <c r="J50" s="142" t="str">
        <f>IF($B50=0,"",VLOOKUP($B50,Materials!$B$2:$H$127,7,FALSE))</f>
        <v/>
      </c>
      <c r="K50" s="150">
        <f t="shared" si="2"/>
        <v>0</v>
      </c>
      <c r="L50" s="143"/>
    </row>
    <row r="51" spans="1:12" hidden="1" x14ac:dyDescent="0.2">
      <c r="A51" s="175"/>
      <c r="B51" s="201"/>
      <c r="C51" s="218" t="str">
        <f>IF(B51=0,"",VLOOKUP($B51,Materials!$B$2:$H$127,2,FALSE))</f>
        <v/>
      </c>
      <c r="D51" s="218"/>
      <c r="E51" s="218"/>
      <c r="F51" s="203"/>
      <c r="G51" s="205"/>
      <c r="H51" s="206"/>
      <c r="I51" s="153" t="str">
        <f>IF($B51=0,"",VLOOKUP($B51,Materials!$B$2:$H$127,5,FALSE))</f>
        <v/>
      </c>
      <c r="J51" s="142" t="str">
        <f>IF($B51=0,"",VLOOKUP($B51,Materials!$B$2:$H$127,7,FALSE))</f>
        <v/>
      </c>
      <c r="K51" s="150">
        <f t="shared" si="2"/>
        <v>0</v>
      </c>
      <c r="L51" s="143"/>
    </row>
    <row r="52" spans="1:12" hidden="1" x14ac:dyDescent="0.2">
      <c r="B52" s="202"/>
      <c r="C52" s="218" t="str">
        <f>IF(B52=0,"",VLOOKUP($B52,Materials!$B$2:$H$127,2,FALSE))</f>
        <v/>
      </c>
      <c r="D52" s="218"/>
      <c r="E52" s="218"/>
      <c r="F52" s="204"/>
      <c r="G52" s="209"/>
      <c r="H52" s="208"/>
      <c r="I52" s="153" t="str">
        <f>IF($B52=0,"",VLOOKUP($B52,Materials!$B$2:$H$127,5,FALSE))</f>
        <v/>
      </c>
      <c r="J52" s="142" t="str">
        <f>IF($B52=0,"",VLOOKUP($B52,Materials!$B$2:$H$127,7,FALSE))</f>
        <v/>
      </c>
      <c r="K52" s="150">
        <f t="shared" si="2"/>
        <v>0</v>
      </c>
      <c r="L52" s="143"/>
    </row>
    <row r="53" spans="1:12" hidden="1" x14ac:dyDescent="0.2">
      <c r="B53" s="202"/>
      <c r="C53" s="218" t="str">
        <f>IF(B53=0,"",VLOOKUP($B53,Materials!$B$2:$H$127,2,FALSE))</f>
        <v/>
      </c>
      <c r="D53" s="218"/>
      <c r="E53" s="218"/>
      <c r="F53" s="204"/>
      <c r="G53" s="209"/>
      <c r="H53" s="208"/>
      <c r="I53" s="153" t="str">
        <f>IF($B53=0,"",VLOOKUP($B53,Materials!$B$2:$H$127,5,FALSE))</f>
        <v/>
      </c>
      <c r="J53" s="142" t="str">
        <f>IF($B53=0,"",VLOOKUP($B53,Materials!$B$2:$H$127,7,FALSE))</f>
        <v/>
      </c>
      <c r="K53" s="150">
        <f t="shared" si="2"/>
        <v>0</v>
      </c>
      <c r="L53" s="143"/>
    </row>
    <row r="54" spans="1:12" hidden="1" x14ac:dyDescent="0.2">
      <c r="B54" s="202"/>
      <c r="C54" s="218" t="str">
        <f>IF(B54=0,"",VLOOKUP($B54,Materials!$B$2:$H$127,2,FALSE))</f>
        <v/>
      </c>
      <c r="D54" s="218"/>
      <c r="E54" s="218"/>
      <c r="F54" s="204"/>
      <c r="G54" s="209"/>
      <c r="H54" s="208"/>
      <c r="I54" s="153" t="str">
        <f>IF($B54=0,"",VLOOKUP($B54,Materials!$B$2:$H$127,5,FALSE))</f>
        <v/>
      </c>
      <c r="J54" s="142" t="str">
        <f>IF($B54=0,"",VLOOKUP($B54,Materials!$B$2:$H$127,7,FALSE))</f>
        <v/>
      </c>
      <c r="K54" s="150">
        <f t="shared" si="2"/>
        <v>0</v>
      </c>
      <c r="L54" s="143"/>
    </row>
    <row r="55" spans="1:12" hidden="1" x14ac:dyDescent="0.2">
      <c r="B55" s="202"/>
      <c r="C55" s="218" t="str">
        <f>IF(B55=0,"",VLOOKUP($B55,Materials!$B$2:$H$127,2,FALSE))</f>
        <v/>
      </c>
      <c r="D55" s="218"/>
      <c r="E55" s="218"/>
      <c r="F55" s="204"/>
      <c r="G55" s="209"/>
      <c r="H55" s="208"/>
      <c r="I55" s="153" t="str">
        <f>IF($B55=0,"",VLOOKUP($B55,Materials!$B$2:$H$127,5,FALSE))</f>
        <v/>
      </c>
      <c r="J55" s="142" t="str">
        <f>IF($B55=0,"",VLOOKUP($B55,Materials!$B$2:$H$127,7,FALSE))</f>
        <v/>
      </c>
      <c r="K55" s="150">
        <f t="shared" si="2"/>
        <v>0</v>
      </c>
      <c r="L55" s="145"/>
    </row>
    <row r="56" spans="1:12" hidden="1" x14ac:dyDescent="0.2">
      <c r="B56" s="202"/>
      <c r="C56" s="218" t="str">
        <f>IF(B56=0,"",VLOOKUP($B56,Materials!$B$2:$H$127,2,FALSE))</f>
        <v/>
      </c>
      <c r="D56" s="218"/>
      <c r="E56" s="218"/>
      <c r="F56" s="204"/>
      <c r="G56" s="209"/>
      <c r="H56" s="208"/>
      <c r="I56" s="153" t="str">
        <f>IF($B56=0,"",VLOOKUP($B56,Materials!$B$2:$H$127,5,FALSE))</f>
        <v/>
      </c>
      <c r="J56" s="142" t="str">
        <f>IF($B56=0,"",VLOOKUP($B56,Materials!$B$2:$H$127,7,FALSE))</f>
        <v/>
      </c>
      <c r="K56" s="150">
        <f>IF(B56=0,0,ROUND(G56*H56*J56,2))</f>
        <v>0</v>
      </c>
      <c r="L56" s="145"/>
    </row>
    <row r="57" spans="1:12" hidden="1" x14ac:dyDescent="0.2">
      <c r="B57" s="202"/>
      <c r="C57" s="218" t="str">
        <f>IF(B57=0,"",VLOOKUP($B57,Materials!$B$2:$H$127,2,FALSE))</f>
        <v/>
      </c>
      <c r="D57" s="218"/>
      <c r="E57" s="218"/>
      <c r="F57" s="204"/>
      <c r="G57" s="209"/>
      <c r="H57" s="208"/>
      <c r="I57" s="153" t="str">
        <f>IF($B57=0,"",VLOOKUP($B57,Materials!$B$2:$H$127,5,FALSE))</f>
        <v/>
      </c>
      <c r="J57" s="142" t="str">
        <f>IF($B57=0,"",VLOOKUP($B57,Materials!$B$2:$H$127,7,FALSE))</f>
        <v/>
      </c>
      <c r="K57" s="150">
        <f>IF(B57=0,0,ROUND(G57*H57*J57,2))</f>
        <v>0</v>
      </c>
      <c r="L57" s="145"/>
    </row>
    <row r="58" spans="1:12" hidden="1" x14ac:dyDescent="0.2">
      <c r="B58" s="202"/>
      <c r="C58" s="218" t="str">
        <f>IF(B58=0,"",VLOOKUP($B58,Materials!$B$2:$H$127,2,FALSE))</f>
        <v/>
      </c>
      <c r="D58" s="218"/>
      <c r="E58" s="218"/>
      <c r="F58" s="204"/>
      <c r="G58" s="209"/>
      <c r="H58" s="208"/>
      <c r="I58" s="153" t="str">
        <f>IF($B58=0,"",VLOOKUP($B58,Materials!$B$2:$H$127,5,FALSE))</f>
        <v/>
      </c>
      <c r="J58" s="142" t="str">
        <f>IF($B58=0,"",VLOOKUP($B58,Materials!$B$2:$H$127,7,FALSE))</f>
        <v/>
      </c>
      <c r="K58" s="150">
        <f>IF(B58=0,0,ROUND(G58*H58*J58,2))</f>
        <v>0</v>
      </c>
      <c r="L58" s="145"/>
    </row>
    <row r="59" spans="1:12" hidden="1" x14ac:dyDescent="0.2">
      <c r="B59" s="202"/>
      <c r="C59" s="218" t="str">
        <f>IF(B59=0,"",VLOOKUP($B59,Materials!$B$2:$H$127,2,FALSE))</f>
        <v/>
      </c>
      <c r="D59" s="218"/>
      <c r="E59" s="218"/>
      <c r="F59" s="204"/>
      <c r="G59" s="209"/>
      <c r="H59" s="208"/>
      <c r="I59" s="153" t="str">
        <f>IF($B59=0,"",VLOOKUP($B59,Materials!$B$2:$H$127,5,FALSE))</f>
        <v/>
      </c>
      <c r="J59" s="142" t="str">
        <f>IF($B59=0,"",VLOOKUP($B59,Materials!$B$2:$H$127,7,FALSE))</f>
        <v/>
      </c>
      <c r="K59" s="150">
        <f>IF(B59=0,0,ROUND(G59*H59*J59,2))</f>
        <v>0</v>
      </c>
      <c r="L59" s="145"/>
    </row>
    <row r="60" spans="1:12" hidden="1" x14ac:dyDescent="0.2">
      <c r="B60" s="202"/>
      <c r="C60" s="218" t="str">
        <f>IF(B60=0,"",VLOOKUP($B60,Materials!$B$2:$H$127,2,FALSE))</f>
        <v/>
      </c>
      <c r="D60" s="218"/>
      <c r="E60" s="218"/>
      <c r="F60" s="204"/>
      <c r="G60" s="209"/>
      <c r="H60" s="208"/>
      <c r="I60" s="153" t="str">
        <f>IF($B60=0,"",VLOOKUP($B60,Materials!$B$2:$H$127,5,FALSE))</f>
        <v/>
      </c>
      <c r="J60" s="142" t="str">
        <f>IF($B60=0,"",VLOOKUP($B60,Materials!$B$2:$H$127,7,FALSE))</f>
        <v/>
      </c>
      <c r="K60" s="150">
        <f>IF(B60=0,0,ROUND(G60*H60*J60,2))</f>
        <v>0</v>
      </c>
      <c r="L60" s="145"/>
    </row>
    <row r="61" spans="1:12" x14ac:dyDescent="0.2">
      <c r="B61" s="202" t="s">
        <v>456</v>
      </c>
      <c r="C61" s="218" t="str">
        <f>IF(B61=0,0,"Crop Insurance")</f>
        <v>Crop Insurance</v>
      </c>
      <c r="D61" s="218"/>
      <c r="E61" s="218"/>
      <c r="F61" s="144"/>
      <c r="G61" s="199"/>
      <c r="H61" s="200"/>
      <c r="I61" s="192"/>
      <c r="J61" s="142">
        <v>10.3</v>
      </c>
      <c r="K61" s="142">
        <f>IF(B61=0,0,J61)</f>
        <v>10.3</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61">
        <f>SUM(K37:K61)</f>
        <v>117.53000000000002</v>
      </c>
      <c r="L63" s="143"/>
    </row>
    <row r="64" spans="1:12" ht="26.25" customHeight="1" x14ac:dyDescent="0.2">
      <c r="B64" s="233" t="s">
        <v>598</v>
      </c>
      <c r="C64" s="233"/>
      <c r="K64" s="161"/>
    </row>
    <row r="65" spans="2:12" x14ac:dyDescent="0.2">
      <c r="B65" s="140" t="s">
        <v>562</v>
      </c>
      <c r="K65" s="161">
        <f>K33+K63</f>
        <v>157.05000000000001</v>
      </c>
      <c r="L65" s="143"/>
    </row>
    <row r="66" spans="2:12" ht="13.5" thickBot="1" x14ac:dyDescent="0.25">
      <c r="D66" s="162" t="s">
        <v>580</v>
      </c>
      <c r="E66" s="163">
        <f>ROUND(SUM($E$33:$H$33)+$K$63,2)</f>
        <v>140.41999999999999</v>
      </c>
      <c r="F66" s="220" t="s">
        <v>360</v>
      </c>
      <c r="G66" s="220"/>
      <c r="H66" s="164">
        <f>'General Variables'!$B$11</f>
        <v>5.5E-2</v>
      </c>
      <c r="I66" s="165" t="str">
        <f>CONCATENATE("for ",TEXT('General Variables'!$B$12,"0.0")," mo.")</f>
        <v>for 6.0 mo.</v>
      </c>
      <c r="K66" s="166">
        <f>E66*H66*'General Variables'!$B$12/12</f>
        <v>3.8615499999999998</v>
      </c>
      <c r="L66" s="167"/>
    </row>
    <row r="67" spans="2:12" ht="13.5" thickTop="1" x14ac:dyDescent="0.2">
      <c r="B67" s="140" t="s">
        <v>364</v>
      </c>
      <c r="K67" s="161">
        <f>SUM(K65:K66)</f>
        <v>160.91155000000001</v>
      </c>
      <c r="L67" s="143"/>
    </row>
    <row r="68" spans="2:12" x14ac:dyDescent="0.2">
      <c r="K68" s="161"/>
    </row>
    <row r="69" spans="2:12" x14ac:dyDescent="0.2">
      <c r="B69" s="168" t="s">
        <v>596</v>
      </c>
      <c r="C69" s="169"/>
      <c r="D69" s="169"/>
      <c r="E69" s="169"/>
      <c r="F69" s="169"/>
      <c r="G69" s="169"/>
      <c r="H69" s="169"/>
      <c r="I69" s="169"/>
      <c r="J69" s="169"/>
      <c r="K69" s="170">
        <f>'General Variables'!B14</f>
        <v>20</v>
      </c>
      <c r="L69" s="143"/>
    </row>
    <row r="70" spans="2:12" x14ac:dyDescent="0.2">
      <c r="B70" s="129" t="s">
        <v>367</v>
      </c>
      <c r="C70" s="221" t="s">
        <v>423</v>
      </c>
      <c r="D70" s="222"/>
      <c r="E70" s="223"/>
      <c r="F70" s="171">
        <f>IF(C70=0,0,VLOOKUP(C70,RETable,2,FALSE))</f>
        <v>1855</v>
      </c>
      <c r="G70" s="220" t="s">
        <v>368</v>
      </c>
      <c r="H70" s="220"/>
      <c r="I70" s="164">
        <f>'General Variables'!$B$10</f>
        <v>0.04</v>
      </c>
      <c r="K70" s="172">
        <f>ROUND(F70*I70,2)</f>
        <v>74.2</v>
      </c>
      <c r="L70" s="143"/>
    </row>
    <row r="71" spans="2:12" ht="13.5" thickBot="1" x14ac:dyDescent="0.25">
      <c r="B71" s="129" t="s">
        <v>376</v>
      </c>
      <c r="F71" s="173">
        <f>IF(C70=0,0,VLOOKUP(C70,RETable,2,FALSE))</f>
        <v>1855</v>
      </c>
      <c r="G71" s="219" t="s">
        <v>368</v>
      </c>
      <c r="H71" s="219"/>
      <c r="I71" s="174">
        <f>'General Variables'!$B$13</f>
        <v>0.01</v>
      </c>
      <c r="J71" s="175"/>
      <c r="K71" s="176">
        <f>ROUND(F71*I71,2)</f>
        <v>18.55</v>
      </c>
      <c r="L71" s="167"/>
    </row>
    <row r="72" spans="2:12" ht="13.5" thickTop="1" x14ac:dyDescent="0.2">
      <c r="B72" s="140" t="s">
        <v>383</v>
      </c>
      <c r="K72" s="161">
        <f>SUM(K67:K71)</f>
        <v>273.66155000000003</v>
      </c>
      <c r="L72" s="143"/>
    </row>
    <row r="73" spans="2:12" x14ac:dyDescent="0.2">
      <c r="K73" s="162"/>
    </row>
    <row r="74" spans="2:12" x14ac:dyDescent="0.2">
      <c r="B74" s="140" t="str">
        <f>"Cost per "&amp;$B$4</f>
        <v>Cost per bu</v>
      </c>
      <c r="K74" s="177">
        <f>IF(A4="Yield",0,K72/$A$4)</f>
        <v>6.0813677777777784</v>
      </c>
      <c r="L74" s="143"/>
    </row>
    <row r="75" spans="2:12" x14ac:dyDescent="0.2">
      <c r="B75" s="178" t="str">
        <f>"Cash Cost per "&amp;$B$4</f>
        <v>Cash Cost per bu</v>
      </c>
      <c r="C75" s="175"/>
      <c r="D75" s="175"/>
      <c r="E75" s="175"/>
      <c r="F75" s="175"/>
      <c r="G75" s="175"/>
      <c r="H75" s="175"/>
      <c r="I75" s="175"/>
      <c r="J75" s="175"/>
      <c r="K75" s="179">
        <f>IF($A$4="Yield",0,(E66+K66+K71)/$A$4)</f>
        <v>3.6184788888888888</v>
      </c>
      <c r="L75" s="186"/>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506</v>
      </c>
    </row>
    <row r="112" spans="2:11" x14ac:dyDescent="0.2">
      <c r="B112" s="175"/>
      <c r="C112" s="175"/>
      <c r="D112" s="175"/>
      <c r="H112" s="129" t="str">
        <f>'General Variables'!A20</f>
        <v>Corn Irrigated</v>
      </c>
      <c r="K112" s="129" t="s">
        <v>507</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5">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K10:K11"/>
    <mergeCell ref="L10:L11"/>
    <mergeCell ref="F35:F36"/>
    <mergeCell ref="G35:G36"/>
    <mergeCell ref="H35:I35"/>
    <mergeCell ref="J35:J36"/>
    <mergeCell ref="L35:L36"/>
    <mergeCell ref="I10:J10"/>
    <mergeCell ref="B64:C64"/>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pageSetUpPr fitToPage="1"/>
  </sheetPr>
  <dimension ref="A2:O255"/>
  <sheetViews>
    <sheetView topLeftCell="A35"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66-Wheat</v>
      </c>
      <c r="B2" s="131"/>
      <c r="C2" s="132" t="s">
        <v>552</v>
      </c>
      <c r="D2" s="132"/>
      <c r="E2" s="131"/>
      <c r="I2" s="133" t="s">
        <v>419</v>
      </c>
      <c r="J2" s="131"/>
      <c r="L2" s="134" t="str">
        <f>'General Variables'!A3&amp;" "&amp;'General Variables'!B3</f>
        <v>Year 2016</v>
      </c>
      <c r="O2" s="135" t="s">
        <v>407</v>
      </c>
    </row>
    <row r="3" spans="1:15" hidden="1" x14ac:dyDescent="0.2">
      <c r="A3" s="130" t="s">
        <v>553</v>
      </c>
      <c r="B3" s="131"/>
      <c r="C3" s="132"/>
      <c r="D3" s="132"/>
      <c r="E3" s="131"/>
      <c r="G3" s="136"/>
      <c r="I3" s="131" t="s">
        <v>540</v>
      </c>
      <c r="O3" s="135" t="s">
        <v>406</v>
      </c>
    </row>
    <row r="4" spans="1:15" hidden="1" x14ac:dyDescent="0.2">
      <c r="A4" s="130">
        <v>55</v>
      </c>
      <c r="B4" s="130" t="s">
        <v>56</v>
      </c>
      <c r="C4" s="132"/>
      <c r="D4" s="132"/>
      <c r="E4" s="131"/>
      <c r="F4" s="131"/>
      <c r="G4" s="131"/>
      <c r="H4" s="131"/>
      <c r="I4" s="131"/>
      <c r="J4" s="134" t="s">
        <v>505</v>
      </c>
      <c r="K4" s="140"/>
      <c r="O4" s="135" t="str">
        <f>B4</f>
        <v>bu</v>
      </c>
    </row>
    <row r="5" spans="1:15" ht="15.75" hidden="1" x14ac:dyDescent="0.25">
      <c r="A5" s="217" t="str">
        <f ca="1" xml:space="preserve"> A2  &amp; IF(C2="","",  ", " &amp;C2 ) &amp; ", " &amp; A3 &amp; ", " &amp; I2</f>
        <v>66-Wheat, No-Till Fallow, One Crop in Two Years, 60 bu Yield Goal, Dryland</v>
      </c>
      <c r="B5" s="217"/>
      <c r="C5" s="217"/>
      <c r="D5" s="217"/>
      <c r="E5" s="217"/>
      <c r="F5" s="217"/>
      <c r="G5" s="217"/>
      <c r="H5" s="217"/>
      <c r="I5" s="217"/>
      <c r="J5" s="217"/>
      <c r="K5" s="217"/>
      <c r="L5" s="217"/>
      <c r="O5" s="135"/>
    </row>
    <row r="6" spans="1:15" ht="15.75" hidden="1" x14ac:dyDescent="0.25">
      <c r="A6" s="191"/>
      <c r="B6" s="191"/>
      <c r="C6" s="191"/>
      <c r="D6" s="191"/>
      <c r="E6" s="191"/>
      <c r="F6" s="191"/>
      <c r="G6" s="191"/>
      <c r="H6" s="191"/>
      <c r="I6" s="191"/>
      <c r="J6" s="191"/>
      <c r="K6" s="191"/>
      <c r="L6" s="191"/>
      <c r="O6" s="135"/>
    </row>
    <row r="7" spans="1:15" ht="30" customHeight="1" x14ac:dyDescent="0.25">
      <c r="A7" s="217" t="str">
        <f ca="1">'General Variables'!B3 &amp; " Budget "  &amp; A2 &amp;", "  &amp; IF(C2=0,"", " " &amp; C2 &amp; ", ") &amp;  A3 &amp; IF(A4=""," ", " (") &amp; A4 &amp; " " &amp; B4 &amp; IF(A4="",""," Actual Yield)")</f>
        <v>2016 Budget 66-Wheat,  No-Till Fallow, One Crop in Two Years, 60 bu Yield Goal (55 bu Actual Yield)</v>
      </c>
      <c r="B7" s="217"/>
      <c r="C7" s="217"/>
      <c r="D7" s="217"/>
      <c r="E7" s="217"/>
      <c r="F7" s="217"/>
      <c r="G7" s="217"/>
      <c r="H7" s="217"/>
      <c r="I7" s="217"/>
      <c r="J7" s="217"/>
      <c r="K7" s="217"/>
      <c r="L7" s="217"/>
      <c r="O7" s="135"/>
    </row>
    <row r="8" spans="1:15" ht="15.75" x14ac:dyDescent="0.25">
      <c r="A8" s="187" t="str">
        <f>IF(I2="Dryland","Dryland",I2 &amp; IF(J2="","",", "&amp;J2)&amp;IF(H3="","",", "&amp;H3&amp;" "&amp;I3))</f>
        <v>Dryland</v>
      </c>
      <c r="B8" s="130"/>
      <c r="C8" s="132"/>
      <c r="D8" s="132"/>
      <c r="E8" s="131"/>
      <c r="F8" s="131"/>
      <c r="G8" s="131"/>
      <c r="H8" s="131"/>
      <c r="I8" s="131"/>
      <c r="O8" s="135"/>
    </row>
    <row r="10" spans="1:15" s="140" customFormat="1" ht="22.5" customHeight="1" x14ac:dyDescent="0.2">
      <c r="B10" s="226" t="s">
        <v>71</v>
      </c>
      <c r="C10" s="225" t="s">
        <v>1</v>
      </c>
      <c r="D10" s="195"/>
      <c r="E10" s="225" t="str">
        <f>"Labor @ $" &amp;TEXT('General Variables'!B4,"#.00")&amp; " /Hr"</f>
        <v>Labor @ $20.00 /Hr</v>
      </c>
      <c r="F10" s="225" t="str">
        <f>"Fuel @ $" &amp; TEXT('General Variables'!B5,"#.00") &amp; " and Lube"</f>
        <v>Fuel @ $2.25 and Lube</v>
      </c>
      <c r="G10" s="228" t="s">
        <v>72</v>
      </c>
      <c r="H10" s="228"/>
      <c r="I10" s="228" t="s">
        <v>352</v>
      </c>
      <c r="J10" s="228"/>
      <c r="K10" s="228" t="s">
        <v>2</v>
      </c>
      <c r="L10" s="225" t="s">
        <v>359</v>
      </c>
    </row>
    <row r="11" spans="1:15" s="140" customFormat="1" ht="21.75" customHeight="1" thickBot="1" x14ac:dyDescent="0.25">
      <c r="B11" s="227"/>
      <c r="C11" s="224"/>
      <c r="D11" s="194" t="s">
        <v>70</v>
      </c>
      <c r="E11" s="224"/>
      <c r="F11" s="224"/>
      <c r="G11" s="196" t="s">
        <v>73</v>
      </c>
      <c r="H11" s="196" t="s">
        <v>75</v>
      </c>
      <c r="I11" s="196" t="s">
        <v>73</v>
      </c>
      <c r="J11" s="196" t="s">
        <v>75</v>
      </c>
      <c r="K11" s="229"/>
      <c r="L11" s="224"/>
    </row>
    <row r="12" spans="1:15" ht="13.5" thickTop="1" x14ac:dyDescent="0.2">
      <c r="A12" s="193">
        <v>1</v>
      </c>
      <c r="B12" s="201" t="s">
        <v>488</v>
      </c>
      <c r="C12" s="203">
        <v>1</v>
      </c>
      <c r="D12" s="197"/>
      <c r="E12" s="142">
        <f>IF(B12=0,"",IF(C12&gt;9999,"",ROUND('General Variables'!$B$4*VLOOKUP(B12,Operations!$A$2:$U$101,10,FALSE)/VLOOKUP(B12,Operations!$A$2:$U$101,9,FALSE)*C12,2)))</f>
        <v>1</v>
      </c>
      <c r="F12" s="142">
        <f>IF(B12=0,0,IF(C12&gt;9999,"",ROUND(IF(VLOOKUP(B12,Operations!$A$2:$U$101,12,FALSE)=0,VLOOKUP(B12,Operations!$A$2:$U$101,13,FALSE)*'General Variables'!$B$8,VLOOKUP(B12,Operations!$A$2:$U$101,12,FALSE)*'General Variables'!$B$7)/VLOOKUP(B12,Operations!$A$2:$U$101,9,FALSE)*C12,2)))</f>
        <v>0.27</v>
      </c>
      <c r="G12" s="142">
        <f>IF(B12=0,0,IF(C12&gt;9999,"",ROUND(VLOOKUP(VLOOKUP(B12,Operations!$A$2:$U$101,11,FALSE),PowerUnits[],10,FALSE)/VLOOKUP(B12,Operations!$A$2:$U$101,9,FALSE)*C12,2)))</f>
        <v>0.33</v>
      </c>
      <c r="H12" s="142">
        <f>IF(B12=0,"",IF(C12&gt;9999,"",ROUND(VLOOKUP($B12,Operations!$A$2:$U$101,15,FALSE)*C12,2)))</f>
        <v>0.64</v>
      </c>
      <c r="I12" s="142">
        <f>IF(B12=0,0,IF(C12&gt;9999,"",ROUND(VLOOKUP(VLOOKUP(B12,Operations!$A$2:$U$101,11,FALSE),PowerUnits[],16,FALSE)/VLOOKUP(B12,Operations!$A$2:$U$101,9,FALSE)*C12,2)))</f>
        <v>1.1100000000000001</v>
      </c>
      <c r="J12" s="142">
        <f>IF(B12=0,"",IF(C12&gt;9999,"",ROUND(VLOOKUP($B12,Operations!$A$2:$U$101,21,FALSE)*$C12,2)))</f>
        <v>0.88</v>
      </c>
      <c r="K12" s="142">
        <f>IF(C12&gt;9999,"",ROUND(SUM(E12:J12),2))</f>
        <v>4.2300000000000004</v>
      </c>
      <c r="L12" s="143"/>
    </row>
    <row r="13" spans="1:15" x14ac:dyDescent="0.2">
      <c r="A13" s="193">
        <v>2</v>
      </c>
      <c r="B13" s="201" t="s">
        <v>488</v>
      </c>
      <c r="C13" s="203">
        <v>1</v>
      </c>
      <c r="D13" s="197"/>
      <c r="E13" s="142">
        <f>IF(B13=0,"",IF(C13&gt;9999,"",ROUND('General Variables'!$B$4*VLOOKUP(B13,Operations!$A$2:$U$101,10,FALSE)/VLOOKUP(B13,Operations!$A$2:$U$101,9,FALSE)*C13,2)))</f>
        <v>1</v>
      </c>
      <c r="F13" s="142">
        <f>IF(B13=0,0,IF(C13&gt;9999,"",ROUND(IF(VLOOKUP(B13,Operations!$A$2:$U$101,12,FALSE)=0,VLOOKUP(B13,Operations!$A$2:$U$101,13,FALSE)*'General Variables'!$B$8,VLOOKUP(B13,Operations!$A$2:$U$101,12,FALSE)*'General Variables'!$B$7)/VLOOKUP(B13,Operations!$A$2:$U$101,9,FALSE)*C13,2)))</f>
        <v>0.27</v>
      </c>
      <c r="G13" s="142">
        <f>IF(B13=0,0,IF(C13&gt;9999,"",ROUND(VLOOKUP(VLOOKUP(B13,Operations!$A$2:$U$101,11,FALSE),PowerUnits[],10,FALSE)/VLOOKUP(B13,Operations!$A$2:$U$101,9,FALSE)*C13,2)))</f>
        <v>0.33</v>
      </c>
      <c r="H13" s="142">
        <f>IF(B13=0,"",IF(C13&gt;9999,"",ROUND(VLOOKUP($B13,Operations!$A$2:$U$101,15,FALSE)*C13,2)))</f>
        <v>0.64</v>
      </c>
      <c r="I13" s="142">
        <f>IF(B13=0,0,IF(C13&gt;9999,"",ROUND(VLOOKUP(VLOOKUP(B13,Operations!$A$2:$U$101,11,FALSE),PowerUnits[],16,FALSE)/VLOOKUP(B13,Operations!$A$2:$U$101,9,FALSE)*C13,2)))</f>
        <v>1.1100000000000001</v>
      </c>
      <c r="J13" s="142">
        <f>IF(B13=0,"",IF(C13&gt;9999,"",ROUND(VLOOKUP($B13,Operations!$A$2:$U$101,21,FALSE)*$C13,2)))</f>
        <v>0.88</v>
      </c>
      <c r="K13" s="142">
        <f t="shared" ref="K13:K31" si="0">IF(C13&gt;9999,"",ROUND(SUM(E13:J13),2))</f>
        <v>4.2300000000000004</v>
      </c>
      <c r="L13" s="143"/>
    </row>
    <row r="14" spans="1:15" x14ac:dyDescent="0.2">
      <c r="A14" s="193">
        <v>3</v>
      </c>
      <c r="B14" s="201" t="s">
        <v>51</v>
      </c>
      <c r="C14" s="203">
        <v>1</v>
      </c>
      <c r="D14" s="197"/>
      <c r="E14" s="142">
        <f>IF(B14=0,"",IF(C14&gt;9999,"",ROUND('General Variables'!$B$4*VLOOKUP(B14,Operations!$A$2:$U$101,10,FALSE)/VLOOKUP(B14,Operations!$A$2:$U$101,9,FALSE)*C14,2)))</f>
        <v>1</v>
      </c>
      <c r="F14" s="142">
        <f>IF(B14=0,0,IF(C14&gt;9999,"",ROUND(IF(VLOOKUP(B14,Operations!$A$2:$U$101,12,FALSE)=0,VLOOKUP(B14,Operations!$A$2:$U$101,13,FALSE)*'General Variables'!$B$8,VLOOKUP(B14,Operations!$A$2:$U$101,12,FALSE)*'General Variables'!$B$7)/VLOOKUP(B14,Operations!$A$2:$U$101,9,FALSE)*C14,2)))</f>
        <v>0.27</v>
      </c>
      <c r="G14" s="142">
        <f>IF(B14=0,0,IF(C14&gt;9999,"",ROUND(VLOOKUP(VLOOKUP(B14,Operations!$A$2:$U$101,11,FALSE),PowerUnits[],10,FALSE)/VLOOKUP(B14,Operations!$A$2:$U$101,9,FALSE)*C14,2)))</f>
        <v>0.33</v>
      </c>
      <c r="H14" s="142">
        <f>IF(B14=0,"",IF(C14&gt;9999,"",ROUND(VLOOKUP($B14,Operations!$A$2:$U$101,15,FALSE)*C14,2)))</f>
        <v>0.64</v>
      </c>
      <c r="I14" s="142">
        <f>IF(B14=0,0,IF(C14&gt;9999,"",ROUND(VLOOKUP(VLOOKUP(B14,Operations!$A$2:$U$101,11,FALSE),PowerUnits[],16,FALSE)/VLOOKUP(B14,Operations!$A$2:$U$101,9,FALSE)*C14,2)))</f>
        <v>1.1100000000000001</v>
      </c>
      <c r="J14" s="142">
        <f>IF(B14=0,"",IF(C14&gt;9999,"",ROUND(VLOOKUP($B14,Operations!$A$2:$U$101,21,FALSE)*$C14,2)))</f>
        <v>0.88</v>
      </c>
      <c r="K14" s="142">
        <f t="shared" si="0"/>
        <v>4.2300000000000004</v>
      </c>
      <c r="L14" s="143"/>
    </row>
    <row r="15" spans="1:15" x14ac:dyDescent="0.2">
      <c r="A15" s="193">
        <v>4</v>
      </c>
      <c r="B15" s="201" t="s">
        <v>51</v>
      </c>
      <c r="C15" s="203">
        <v>1</v>
      </c>
      <c r="D15" s="197"/>
      <c r="E15" s="142">
        <f>IF(B15=0,"",IF(C15&gt;9999,"",ROUND('General Variables'!$B$4*VLOOKUP(B15,Operations!$A$2:$U$101,10,FALSE)/VLOOKUP(B15,Operations!$A$2:$U$101,9,FALSE)*C15,2)))</f>
        <v>1</v>
      </c>
      <c r="F15" s="142">
        <f>IF(B15=0,0,IF(C15&gt;9999,"",ROUND(IF(VLOOKUP(B15,Operations!$A$2:$U$101,12,FALSE)=0,VLOOKUP(B15,Operations!$A$2:$U$101,13,FALSE)*'General Variables'!$B$8,VLOOKUP(B15,Operations!$A$2:$U$101,12,FALSE)*'General Variables'!$B$7)/VLOOKUP(B15,Operations!$A$2:$U$101,9,FALSE)*C15,2)))</f>
        <v>0.27</v>
      </c>
      <c r="G15" s="142">
        <f>IF(B15=0,0,IF(C15&gt;9999,"",ROUND(VLOOKUP(VLOOKUP(B15,Operations!$A$2:$U$101,11,FALSE),PowerUnits[],10,FALSE)/VLOOKUP(B15,Operations!$A$2:$U$101,9,FALSE)*C15,2)))</f>
        <v>0.33</v>
      </c>
      <c r="H15" s="142">
        <f>IF(B15=0,"",IF(C15&gt;9999,"",ROUND(VLOOKUP($B15,Operations!$A$2:$U$101,15,FALSE)*C15,2)))</f>
        <v>0.64</v>
      </c>
      <c r="I15" s="142">
        <f>IF(B15=0,0,IF(C15&gt;9999,"",ROUND(VLOOKUP(VLOOKUP(B15,Operations!$A$2:$U$101,11,FALSE),PowerUnits[],16,FALSE)/VLOOKUP(B15,Operations!$A$2:$U$101,9,FALSE)*C15,2)))</f>
        <v>1.1100000000000001</v>
      </c>
      <c r="J15" s="142">
        <f>IF(B15=0,"",IF(C15&gt;9999,"",ROUND(VLOOKUP($B15,Operations!$A$2:$U$101,21,FALSE)*$C15,2)))</f>
        <v>0.88</v>
      </c>
      <c r="K15" s="142">
        <f t="shared" si="0"/>
        <v>4.2300000000000004</v>
      </c>
      <c r="L15" s="143"/>
    </row>
    <row r="16" spans="1:15" x14ac:dyDescent="0.2">
      <c r="A16" s="193">
        <v>5</v>
      </c>
      <c r="B16" s="201" t="s">
        <v>51</v>
      </c>
      <c r="C16" s="203">
        <v>1</v>
      </c>
      <c r="D16" s="197"/>
      <c r="E16" s="142">
        <f>IF(B16=0,"",IF(C16&gt;9999,"",ROUND('General Variables'!$B$4*VLOOKUP(B16,Operations!$A$2:$U$101,10,FALSE)/VLOOKUP(B16,Operations!$A$2:$U$101,9,FALSE)*C16,2)))</f>
        <v>1</v>
      </c>
      <c r="F16" s="142">
        <f>IF(B16=0,0,IF(C16&gt;9999,"",ROUND(IF(VLOOKUP(B16,Operations!$A$2:$U$101,12,FALSE)=0,VLOOKUP(B16,Operations!$A$2:$U$101,13,FALSE)*'General Variables'!$B$8,VLOOKUP(B16,Operations!$A$2:$U$101,12,FALSE)*'General Variables'!$B$7)/VLOOKUP(B16,Operations!$A$2:$U$101,9,FALSE)*C16,2)))</f>
        <v>0.27</v>
      </c>
      <c r="G16" s="142">
        <f>IF(B16=0,0,IF(C16&gt;9999,"",ROUND(VLOOKUP(VLOOKUP(B16,Operations!$A$2:$U$101,11,FALSE),PowerUnits[],10,FALSE)/VLOOKUP(B16,Operations!$A$2:$U$101,9,FALSE)*C16,2)))</f>
        <v>0.33</v>
      </c>
      <c r="H16" s="142">
        <f>IF(B16=0,"",IF(C16&gt;9999,"",ROUND(VLOOKUP($B16,Operations!$A$2:$U$101,15,FALSE)*C16,2)))</f>
        <v>0.64</v>
      </c>
      <c r="I16" s="142">
        <f>IF(B16=0,0,IF(C16&gt;9999,"",ROUND(VLOOKUP(VLOOKUP(B16,Operations!$A$2:$U$101,11,FALSE),PowerUnits[],16,FALSE)/VLOOKUP(B16,Operations!$A$2:$U$101,9,FALSE)*C16,2)))</f>
        <v>1.1100000000000001</v>
      </c>
      <c r="J16" s="142">
        <f>IF(B16=0,"",IF(C16&gt;9999,"",ROUND(VLOOKUP($B16,Operations!$A$2:$U$101,21,FALSE)*$C16,2)))</f>
        <v>0.88</v>
      </c>
      <c r="K16" s="142">
        <f t="shared" si="0"/>
        <v>4.2300000000000004</v>
      </c>
      <c r="L16" s="143"/>
    </row>
    <row r="17" spans="1:12" x14ac:dyDescent="0.2">
      <c r="A17" s="193">
        <v>6</v>
      </c>
      <c r="B17" s="201" t="s">
        <v>283</v>
      </c>
      <c r="C17" s="203">
        <v>1</v>
      </c>
      <c r="D17" s="197"/>
      <c r="E17" s="142">
        <f>IF(B17=0,"",IF(C17&gt;9999,"",ROUND('General Variables'!$B$4*VLOOKUP(B17,Operations!$A$2:$U$101,10,FALSE)/VLOOKUP(B17,Operations!$A$2:$U$101,9,FALSE)*C17,2)))</f>
        <v>1.83</v>
      </c>
      <c r="F17" s="142">
        <f>IF(B17=0,0,IF(C17&gt;9999,"",ROUND(IF(VLOOKUP(B17,Operations!$A$2:$U$101,12,FALSE)=0,VLOOKUP(B17,Operations!$A$2:$U$101,13,FALSE)*'General Variables'!$B$8,VLOOKUP(B17,Operations!$A$2:$U$101,12,FALSE)*'General Variables'!$B$7)/VLOOKUP(B17,Operations!$A$2:$U$101,9,FALSE)*C17,2)))</f>
        <v>1.31</v>
      </c>
      <c r="G17" s="142">
        <f>IF(B17=0,0,IF(C17&gt;9999,"",ROUND(VLOOKUP(VLOOKUP(B17,Operations!$A$2:$U$101,11,FALSE),PowerUnits[],10,FALSE)/VLOOKUP(B17,Operations!$A$2:$U$101,9,FALSE)*C17,2)))</f>
        <v>0.69</v>
      </c>
      <c r="H17" s="142">
        <f>IF(B17=0,"",IF(C17&gt;9999,"",ROUND(VLOOKUP($B17,Operations!$A$2:$U$101,15,FALSE)*C17,2)))</f>
        <v>1.57</v>
      </c>
      <c r="I17" s="142">
        <f>IF(B17=0,0,IF(C17&gt;9999,"",ROUND(VLOOKUP(VLOOKUP(B17,Operations!$A$2:$U$101,11,FALSE),PowerUnits[],16,FALSE)/VLOOKUP(B17,Operations!$A$2:$U$101,9,FALSE)*C17,2)))</f>
        <v>2.2999999999999998</v>
      </c>
      <c r="J17" s="142">
        <f>IF(B17=0,"",IF(C17&gt;9999,"",ROUND(VLOOKUP($B17,Operations!$A$2:$U$101,21,FALSE)*$C17,2)))</f>
        <v>3.54</v>
      </c>
      <c r="K17" s="142">
        <f t="shared" si="0"/>
        <v>11.24</v>
      </c>
      <c r="L17" s="143"/>
    </row>
    <row r="18" spans="1:12" x14ac:dyDescent="0.2">
      <c r="A18" s="193">
        <v>7</v>
      </c>
      <c r="B18" s="201" t="s">
        <v>546</v>
      </c>
      <c r="C18" s="203">
        <v>1</v>
      </c>
      <c r="D18" s="197"/>
      <c r="E18" s="142">
        <f>IF(B18=0,"",IF(C18&gt;9999,"",ROUND('General Variables'!$B$4*VLOOKUP(B18,Operations!$A$2:$U$101,10,FALSE)/VLOOKUP(B18,Operations!$A$2:$U$101,9,FALSE)*C18,2)))</f>
        <v>1.57</v>
      </c>
      <c r="F18" s="142">
        <f>IF(B18=0,0,IF(C18&gt;9999,"",ROUND(IF(VLOOKUP(B18,Operations!$A$2:$U$101,12,FALSE)=0,VLOOKUP(B18,Operations!$A$2:$U$101,13,FALSE)*'General Variables'!$B$8,VLOOKUP(B18,Operations!$A$2:$U$101,12,FALSE)*'General Variables'!$B$7)/VLOOKUP(B18,Operations!$A$2:$U$101,9,FALSE)*C18,2)))</f>
        <v>0.79</v>
      </c>
      <c r="G18" s="142">
        <f>IF(B18=0,0,IF(C18&gt;9999,"",ROUND(VLOOKUP(VLOOKUP(B18,Operations!$A$2:$U$101,11,FALSE),PowerUnits[],10,FALSE)/VLOOKUP(B18,Operations!$A$2:$U$101,9,FALSE)*C18,2)))</f>
        <v>0.66</v>
      </c>
      <c r="H18" s="142">
        <f>IF(B18=0,"",IF(C18&gt;9999,"",ROUND(VLOOKUP($B18,Operations!$A$2:$U$101,15,FALSE)*C18,2)))</f>
        <v>0</v>
      </c>
      <c r="I18" s="142">
        <f>IF(B18=0,0,IF(C18&gt;9999,"",ROUND(VLOOKUP(VLOOKUP(B18,Operations!$A$2:$U$101,11,FALSE),PowerUnits[],16,FALSE)/VLOOKUP(B18,Operations!$A$2:$U$101,9,FALSE)*C18,2)))</f>
        <v>2.1800000000000002</v>
      </c>
      <c r="J18" s="142">
        <f>IF(B18=0,"",IF(C18&gt;9999,"",ROUND(VLOOKUP($B18,Operations!$A$2:$U$101,21,FALSE)*$C18,2)))</f>
        <v>0</v>
      </c>
      <c r="K18" s="142">
        <f t="shared" si="0"/>
        <v>5.2</v>
      </c>
      <c r="L18" s="143"/>
    </row>
    <row r="19" spans="1:12" x14ac:dyDescent="0.2">
      <c r="A19" s="193">
        <v>8</v>
      </c>
      <c r="B19" s="201" t="s">
        <v>51</v>
      </c>
      <c r="C19" s="203">
        <v>1</v>
      </c>
      <c r="D19" s="197"/>
      <c r="E19" s="142">
        <f>IF(B19=0,"",IF(C19&gt;9999,"",ROUND('General Variables'!$B$4*VLOOKUP(B19,Operations!$A$2:$U$101,10,FALSE)/VLOOKUP(B19,Operations!$A$2:$U$101,9,FALSE)*C19,2)))</f>
        <v>1</v>
      </c>
      <c r="F19" s="142">
        <f>IF(B19=0,0,IF(C19&gt;9999,"",ROUND(IF(VLOOKUP(B19,Operations!$A$2:$U$101,12,FALSE)=0,VLOOKUP(B19,Operations!$A$2:$U$101,13,FALSE)*'General Variables'!$B$8,VLOOKUP(B19,Operations!$A$2:$U$101,12,FALSE)*'General Variables'!$B$7)/VLOOKUP(B19,Operations!$A$2:$U$101,9,FALSE)*C19,2)))</f>
        <v>0.27</v>
      </c>
      <c r="G19" s="142">
        <f>IF(B19=0,0,IF(C19&gt;9999,"",ROUND(VLOOKUP(VLOOKUP(B19,Operations!$A$2:$U$101,11,FALSE),PowerUnits[],10,FALSE)/VLOOKUP(B19,Operations!$A$2:$U$101,9,FALSE)*C19,2)))</f>
        <v>0.33</v>
      </c>
      <c r="H19" s="142">
        <f>IF(B19=0,"",IF(C19&gt;9999,"",ROUND(VLOOKUP($B19,Operations!$A$2:$U$101,15,FALSE)*C19,2)))</f>
        <v>0.64</v>
      </c>
      <c r="I19" s="142">
        <f>IF(B19=0,0,IF(C19&gt;9999,"",ROUND(VLOOKUP(VLOOKUP(B19,Operations!$A$2:$U$101,11,FALSE),PowerUnits[],16,FALSE)/VLOOKUP(B19,Operations!$A$2:$U$101,9,FALSE)*C19,2)))</f>
        <v>1.1100000000000001</v>
      </c>
      <c r="J19" s="142">
        <f>IF(B19=0,"",IF(C19&gt;9999,"",ROUND(VLOOKUP($B19,Operations!$A$2:$U$101,21,FALSE)*$C19,2)))</f>
        <v>0.88</v>
      </c>
      <c r="K19" s="142">
        <f t="shared" si="0"/>
        <v>4.2300000000000004</v>
      </c>
      <c r="L19" s="143"/>
    </row>
    <row r="20" spans="1:12" x14ac:dyDescent="0.2">
      <c r="A20" s="193">
        <v>9</v>
      </c>
      <c r="B20" s="201" t="s">
        <v>17</v>
      </c>
      <c r="C20" s="203" t="s">
        <v>3</v>
      </c>
      <c r="D20" s="144"/>
      <c r="E20" s="142" t="str">
        <f>IF(B20=0,"",IF(C20&gt;9999,"",ROUND('General Variables'!$B$4*VLOOKUP(B20,Operations!$A$2:$U$101,10,FALSE)/VLOOKUP(B20,Operations!$A$2:$U$101,9,FALSE)*C20,2)))</f>
        <v/>
      </c>
      <c r="F20" s="142" t="str">
        <f>IF(B20=0,0,IF(C20&gt;9999,"",ROUND(IF(VLOOKUP(B20,Operations!$A$2:$U$101,12,FALSE)=0,VLOOKUP(B20,Operations!$A$2:$U$101,13,FALSE)*'General Variables'!$B$8,VLOOKUP(B20,Operations!$A$2:$U$101,12,FALSE)*'General Variables'!$B$7)/VLOOKUP(B20,Operations!$A$2:$U$101,9,FALSE)*C20,2)))</f>
        <v/>
      </c>
      <c r="G20" s="142" t="str">
        <f>IF(B20=0,0,IF(C20&gt;9999,"",ROUND(VLOOKUP(VLOOKUP(B20,Operations!$A$2:$U$101,11,FALSE),PowerUnits[],10,FALSE)/VLOOKUP(B20,Operations!$A$2:$U$101,9,FALSE)*C20,2)))</f>
        <v/>
      </c>
      <c r="H20" s="142" t="str">
        <f>IF(B20=0,"",IF(C20&gt;9999,"",ROUND(VLOOKUP($B20,Operations!$A$2:$U$101,15,FALSE)*C20,2)))</f>
        <v/>
      </c>
      <c r="I20" s="142" t="str">
        <f>IF(B20=0,0,IF(C20&gt;9999,"",ROUND(VLOOKUP(VLOOKUP(B20,Operations!$A$2:$U$101,11,FALSE),PowerUnits[],16,FALSE)/VLOOKUP(B20,Operations!$A$2:$U$101,9,FALSE)*C20,2)))</f>
        <v/>
      </c>
      <c r="J20" s="142" t="str">
        <f>IF(B20=0,"",IF(C20&gt;9999,"",ROUND(VLOOKUP($B20,Operations!$A$2:$U$101,21,FALSE)*$C20,2)))</f>
        <v/>
      </c>
      <c r="K20" s="142" t="str">
        <f t="shared" si="0"/>
        <v/>
      </c>
      <c r="L20" s="143"/>
    </row>
    <row r="21" spans="1:12" x14ac:dyDescent="0.2">
      <c r="A21" s="193">
        <v>10</v>
      </c>
      <c r="B21" s="201" t="s">
        <v>17</v>
      </c>
      <c r="C21" s="203" t="s">
        <v>3</v>
      </c>
      <c r="D21" s="144"/>
      <c r="E21" s="142" t="str">
        <f>IF(B21=0,"",IF(C21&gt;9999,"",ROUND('General Variables'!$B$4*VLOOKUP(B21,Operations!$A$2:$U$101,10,FALSE)/VLOOKUP(B21,Operations!$A$2:$U$101,9,FALSE)*C21,2)))</f>
        <v/>
      </c>
      <c r="F21" s="142" t="str">
        <f>IF(B21=0,0,IF(C21&gt;9999,"",ROUND(IF(VLOOKUP(B21,Operations!$A$2:$U$101,12,FALSE)=0,VLOOKUP(B21,Operations!$A$2:$U$101,13,FALSE)*'General Variables'!$B$8,VLOOKUP(B21,Operations!$A$2:$U$101,12,FALSE)*'General Variables'!$B$7)/VLOOKUP(B21,Operations!$A$2:$U$101,9,FALSE)*C21,2)))</f>
        <v/>
      </c>
      <c r="G21" s="142" t="str">
        <f>IF(B21=0,0,IF(C21&gt;9999,"",ROUND(VLOOKUP(VLOOKUP(B21,Operations!$A$2:$U$101,11,FALSE),PowerUnits[],10,FALSE)/VLOOKUP(B21,Operations!$A$2:$U$101,9,FALSE)*C21,2)))</f>
        <v/>
      </c>
      <c r="H21" s="142" t="str">
        <f>IF(B21=0,"",IF(C21&gt;9999,"",ROUND(VLOOKUP($B21,Operations!$A$2:$U$101,15,FALSE)*C21,2)))</f>
        <v/>
      </c>
      <c r="I21" s="142" t="str">
        <f>IF(B21=0,0,IF(C21&gt;9999,"",ROUND(VLOOKUP(VLOOKUP(B21,Operations!$A$2:$U$101,11,FALSE),PowerUnits[],16,FALSE)/VLOOKUP(B21,Operations!$A$2:$U$101,9,FALSE)*C21,2)))</f>
        <v/>
      </c>
      <c r="J21" s="142" t="str">
        <f>IF(B21=0,"",IF(C21&gt;9999,"",ROUND(VLOOKUP($B21,Operations!$A$2:$U$101,21,FALSE)*$C21,2)))</f>
        <v/>
      </c>
      <c r="K21" s="142" t="str">
        <f t="shared" si="0"/>
        <v/>
      </c>
      <c r="L21" s="143"/>
    </row>
    <row r="22" spans="1:12" x14ac:dyDescent="0.2">
      <c r="A22" s="193">
        <v>11</v>
      </c>
      <c r="B22" s="201" t="s">
        <v>491</v>
      </c>
      <c r="C22" s="203">
        <v>1</v>
      </c>
      <c r="D22" s="144"/>
      <c r="E22" s="142">
        <f>IF(B22=0,"",IF(C22&gt;9999,"",ROUND('General Variables'!$B$4*VLOOKUP(B22,Operations!$A$2:$U$101,10,FALSE)/VLOOKUP(B22,Operations!$A$2:$U$101,9,FALSE)*C22,2)))</f>
        <v>3.14</v>
      </c>
      <c r="F22" s="142">
        <f>IF(B22=0,0,IF(C22&gt;9999,"",ROUND(IF(VLOOKUP(B22,Operations!$A$2:$U$101,12,FALSE)=0,VLOOKUP(B22,Operations!$A$2:$U$101,13,FALSE)*'General Variables'!$B$8,VLOOKUP(B22,Operations!$A$2:$U$101,12,FALSE)*'General Variables'!$B$7)/VLOOKUP(B22,Operations!$A$2:$U$101,9,FALSE)*C22,2)))</f>
        <v>3.87</v>
      </c>
      <c r="G22" s="142">
        <f>IF(B22=0,0,IF(C22&gt;9999,"",ROUND(VLOOKUP(VLOOKUP(B22,Operations!$A$2:$U$101,11,FALSE),PowerUnits[],10,FALSE)/VLOOKUP(B22,Operations!$A$2:$U$101,9,FALSE)*C22,2)))</f>
        <v>7.31</v>
      </c>
      <c r="H22" s="142">
        <f>IF(B22=0,"",IF(C22&gt;9999,"",ROUND(VLOOKUP($B22,Operations!$A$2:$U$101,15,FALSE)*C22,2)))</f>
        <v>0.93</v>
      </c>
      <c r="I22" s="142">
        <f>IF(B22=0,0,IF(C22&gt;9999,"",ROUND(VLOOKUP(VLOOKUP(B22,Operations!$A$2:$U$101,11,FALSE),PowerUnits[],16,FALSE)/VLOOKUP(B22,Operations!$A$2:$U$101,9,FALSE)*C22,2)))</f>
        <v>5.99</v>
      </c>
      <c r="J22" s="142">
        <f>IF(B22=0,"",IF(C22&gt;9999,"",ROUND(VLOOKUP($B22,Operations!$A$2:$U$101,21,FALSE)*$C22,2)))</f>
        <v>2.81</v>
      </c>
      <c r="K22" s="142">
        <f t="shared" si="0"/>
        <v>24.05</v>
      </c>
      <c r="L22" s="143"/>
    </row>
    <row r="23" spans="1:12" x14ac:dyDescent="0.2">
      <c r="A23" s="193">
        <v>12</v>
      </c>
      <c r="B23" s="201" t="s">
        <v>296</v>
      </c>
      <c r="C23" s="203" t="s">
        <v>3</v>
      </c>
      <c r="D23" s="144"/>
      <c r="E23" s="142" t="str">
        <f>IF(B23=0,"",IF(C23&gt;9999,"",ROUND('General Variables'!$B$4*VLOOKUP(B23,Operations!$A$2:$U$101,10,FALSE)/VLOOKUP(B23,Operations!$A$2:$U$101,9,FALSE)*C23,2)))</f>
        <v/>
      </c>
      <c r="F23" s="142" t="str">
        <f>IF(B23=0,0,IF(C23&gt;9999,"",ROUND(IF(VLOOKUP(B23,Operations!$A$2:$U$101,12,FALSE)=0,VLOOKUP(B23,Operations!$A$2:$U$101,13,FALSE)*'General Variables'!$B$8,VLOOKUP(B23,Operations!$A$2:$U$101,12,FALSE)*'General Variables'!$B$7)/VLOOKUP(B23,Operations!$A$2:$U$101,9,FALSE)*C23,2)))</f>
        <v/>
      </c>
      <c r="G23" s="142" t="str">
        <f>IF(B23=0,0,IF(C23&gt;9999,"",ROUND(VLOOKUP(VLOOKUP(B23,Operations!$A$2:$U$101,11,FALSE),PowerUnits[],10,FALSE)/VLOOKUP(B23,Operations!$A$2:$U$101,9,FALSE)*C23,2)))</f>
        <v/>
      </c>
      <c r="H23" s="142" t="str">
        <f>IF(B23=0,"",IF(C23&gt;9999,"",ROUND(VLOOKUP($B23,Operations!$A$2:$U$101,15,FALSE)*C23,2)))</f>
        <v/>
      </c>
      <c r="I23" s="142" t="str">
        <f>IF(B23=0,0,IF(C23&gt;9999,"",ROUND(VLOOKUP(VLOOKUP(B23,Operations!$A$2:$U$101,11,FALSE),PowerUnits[],16,FALSE)/VLOOKUP(B23,Operations!$A$2:$U$101,9,FALSE)*C23,2)))</f>
        <v/>
      </c>
      <c r="J23" s="142" t="str">
        <f>IF(B23=0,"",IF(C23&gt;9999,"",ROUND(VLOOKUP($B23,Operations!$A$2:$U$101,21,FALSE)*$C23,2)))</f>
        <v/>
      </c>
      <c r="K23" s="142" t="str">
        <f t="shared" si="0"/>
        <v/>
      </c>
      <c r="L23" s="143"/>
    </row>
    <row r="24" spans="1:12" hidden="1" x14ac:dyDescent="0.2">
      <c r="A24" s="193">
        <v>13</v>
      </c>
      <c r="B24" s="201"/>
      <c r="C24" s="203"/>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3">
        <v>14</v>
      </c>
      <c r="B25" s="202"/>
      <c r="C25" s="204"/>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3">
        <v>15</v>
      </c>
      <c r="B26" s="202"/>
      <c r="C26" s="204"/>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3">
        <v>16</v>
      </c>
      <c r="B27" s="202"/>
      <c r="C27" s="204"/>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3">
        <v>17</v>
      </c>
      <c r="B28" s="202"/>
      <c r="C28" s="204"/>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3">
        <v>18</v>
      </c>
      <c r="B29" s="202"/>
      <c r="C29" s="204"/>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3">
        <v>19</v>
      </c>
      <c r="B30" s="202"/>
      <c r="C30" s="204"/>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3">
        <v>20</v>
      </c>
      <c r="B31" s="202"/>
      <c r="C31" s="204"/>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3"/>
      <c r="B32" s="146"/>
      <c r="C32" s="147"/>
      <c r="D32" s="147"/>
      <c r="E32" s="148"/>
      <c r="F32" s="148"/>
      <c r="G32" s="148"/>
      <c r="H32" s="148"/>
      <c r="I32" s="148"/>
      <c r="J32" s="148"/>
      <c r="K32" s="148"/>
      <c r="L32" s="149"/>
    </row>
    <row r="33" spans="1:12" ht="13.5" thickTop="1" x14ac:dyDescent="0.2">
      <c r="C33" s="139" t="s">
        <v>74</v>
      </c>
      <c r="D33" s="139"/>
      <c r="E33" s="150">
        <f>SUM(E12:E31)</f>
        <v>12.540000000000001</v>
      </c>
      <c r="F33" s="150">
        <f t="shared" ref="F33:K33" si="1">SUM(F12:F31)</f>
        <v>7.59</v>
      </c>
      <c r="G33" s="150">
        <f t="shared" si="1"/>
        <v>10.64</v>
      </c>
      <c r="H33" s="150">
        <f t="shared" si="1"/>
        <v>6.34</v>
      </c>
      <c r="I33" s="150">
        <f t="shared" si="1"/>
        <v>17.130000000000003</v>
      </c>
      <c r="J33" s="150">
        <f t="shared" si="1"/>
        <v>11.63</v>
      </c>
      <c r="K33" s="150">
        <f t="shared" si="1"/>
        <v>65.87</v>
      </c>
      <c r="L33" s="143"/>
    </row>
    <row r="35" spans="1:12" ht="24" customHeight="1" thickBot="1" x14ac:dyDescent="0.25">
      <c r="B35" s="136"/>
      <c r="C35" s="136"/>
      <c r="D35" s="136"/>
      <c r="E35" s="136"/>
      <c r="F35" s="224" t="s">
        <v>85</v>
      </c>
      <c r="G35" s="224" t="s">
        <v>82</v>
      </c>
      <c r="H35" s="225" t="s">
        <v>86</v>
      </c>
      <c r="I35" s="225"/>
      <c r="J35" s="224" t="s">
        <v>62</v>
      </c>
      <c r="L35" s="225" t="s">
        <v>359</v>
      </c>
    </row>
    <row r="36" spans="1:12" s="151" customFormat="1" ht="18.75" customHeight="1" thickTop="1" thickBot="1" x14ac:dyDescent="0.25">
      <c r="B36" s="152" t="s">
        <v>81</v>
      </c>
      <c r="C36" s="194"/>
      <c r="D36" s="194"/>
      <c r="E36" s="194"/>
      <c r="F36" s="224"/>
      <c r="G36" s="224"/>
      <c r="H36" s="189" t="s">
        <v>87</v>
      </c>
      <c r="I36" s="190" t="s">
        <v>70</v>
      </c>
      <c r="J36" s="224"/>
      <c r="K36" s="194" t="s">
        <v>83</v>
      </c>
      <c r="L36" s="224"/>
    </row>
    <row r="37" spans="1:12" ht="13.5" thickTop="1" x14ac:dyDescent="0.2">
      <c r="A37" s="175"/>
      <c r="B37" s="201" t="s">
        <v>29</v>
      </c>
      <c r="C37" s="218" t="str">
        <f>IF(B37=0,"",VLOOKUP($B37,Materials!$B$2:$H$127,2,FALSE))</f>
        <v>Herbicide</v>
      </c>
      <c r="D37" s="218"/>
      <c r="E37" s="218"/>
      <c r="F37" s="203">
        <v>1</v>
      </c>
      <c r="G37" s="205">
        <v>1</v>
      </c>
      <c r="H37" s="206">
        <v>32</v>
      </c>
      <c r="I37" s="153" t="str">
        <f>IF($B37=0,"",VLOOKUP($B37,Materials!$B$2:$H$127,5,FALSE))</f>
        <v>ounce</v>
      </c>
      <c r="J37" s="142">
        <f>IF($B37=0,"",VLOOKUP($B37,Materials!$B$2:$H$127,7,FALSE))</f>
        <v>0.125</v>
      </c>
      <c r="K37" s="150">
        <f>IF(B37=0,0,ROUND(G37*H37*J37,2))</f>
        <v>4</v>
      </c>
      <c r="L37" s="143"/>
    </row>
    <row r="38" spans="1:12" x14ac:dyDescent="0.2">
      <c r="A38" s="175"/>
      <c r="B38" s="201" t="s">
        <v>439</v>
      </c>
      <c r="C38" s="218" t="str">
        <f>IF(B38=0,"",VLOOKUP($B38,Materials!$B$2:$H$127,2,FALSE))</f>
        <v>Additive</v>
      </c>
      <c r="D38" s="218"/>
      <c r="E38" s="218"/>
      <c r="F38" s="203">
        <v>1</v>
      </c>
      <c r="G38" s="205">
        <v>1</v>
      </c>
      <c r="H38" s="206">
        <v>1.7</v>
      </c>
      <c r="I38" s="153" t="str">
        <f>IF($B38=0,"",VLOOKUP($B38,Materials!$B$2:$H$127,5,FALSE))</f>
        <v>pound</v>
      </c>
      <c r="J38" s="142">
        <f>IF($B38=0,"",VLOOKUP($B38,Materials!$B$2:$H$127,7,FALSE))</f>
        <v>0.35</v>
      </c>
      <c r="K38" s="150">
        <f t="shared" ref="K38:K60" si="2">IF(B38=0,0,ROUND(G38*H38*J38,2))</f>
        <v>0.6</v>
      </c>
      <c r="L38" s="143"/>
    </row>
    <row r="39" spans="1:12" x14ac:dyDescent="0.2">
      <c r="A39" s="175"/>
      <c r="B39" s="201" t="s">
        <v>29</v>
      </c>
      <c r="C39" s="218" t="str">
        <f>IF(B39=0,"",VLOOKUP($B39,Materials!$B$2:$H$127,2,FALSE))</f>
        <v>Herbicide</v>
      </c>
      <c r="D39" s="218"/>
      <c r="E39" s="218"/>
      <c r="F39" s="203">
        <v>2</v>
      </c>
      <c r="G39" s="205">
        <v>1</v>
      </c>
      <c r="H39" s="206">
        <v>32</v>
      </c>
      <c r="I39" s="153" t="str">
        <f>IF($B39=0,"",VLOOKUP($B39,Materials!$B$2:$H$127,5,FALSE))</f>
        <v>ounce</v>
      </c>
      <c r="J39" s="142">
        <f>IF($B39=0,"",VLOOKUP($B39,Materials!$B$2:$H$127,7,FALSE))</f>
        <v>0.125</v>
      </c>
      <c r="K39" s="150">
        <f t="shared" si="2"/>
        <v>4</v>
      </c>
      <c r="L39" s="143"/>
    </row>
    <row r="40" spans="1:12" x14ac:dyDescent="0.2">
      <c r="A40" s="175"/>
      <c r="B40" s="201" t="s">
        <v>439</v>
      </c>
      <c r="C40" s="218" t="str">
        <f>IF(B40=0,"",VLOOKUP($B40,Materials!$B$2:$H$127,2,FALSE))</f>
        <v>Additive</v>
      </c>
      <c r="D40" s="218"/>
      <c r="E40" s="218"/>
      <c r="F40" s="203">
        <v>2</v>
      </c>
      <c r="G40" s="205">
        <v>1</v>
      </c>
      <c r="H40" s="206">
        <v>1.7</v>
      </c>
      <c r="I40" s="153" t="str">
        <f>IF($B40=0,"",VLOOKUP($B40,Materials!$B$2:$H$127,5,FALSE))</f>
        <v>pound</v>
      </c>
      <c r="J40" s="142">
        <f>IF($B40=0,"",VLOOKUP($B40,Materials!$B$2:$H$127,7,FALSE))</f>
        <v>0.35</v>
      </c>
      <c r="K40" s="150">
        <f t="shared" si="2"/>
        <v>0.6</v>
      </c>
      <c r="L40" s="143"/>
    </row>
    <row r="41" spans="1:12" x14ac:dyDescent="0.2">
      <c r="A41" s="175"/>
      <c r="B41" s="201" t="s">
        <v>16</v>
      </c>
      <c r="C41" s="218" t="str">
        <f>IF(B41=0,"",VLOOKUP($B41,Materials!$B$2:$H$127,2,FALSE))</f>
        <v>Herbicide</v>
      </c>
      <c r="D41" s="218"/>
      <c r="E41" s="218"/>
      <c r="F41" s="203">
        <v>2</v>
      </c>
      <c r="G41" s="205">
        <v>1</v>
      </c>
      <c r="H41" s="206">
        <v>1</v>
      </c>
      <c r="I41" s="153" t="str">
        <f>IF($B41=0,"",VLOOKUP($B41,Materials!$B$2:$H$127,5,FALSE))</f>
        <v>quart</v>
      </c>
      <c r="J41" s="142">
        <f>IF($B41=0,"",VLOOKUP($B41,Materials!$B$2:$H$127,7,FALSE))</f>
        <v>5.25</v>
      </c>
      <c r="K41" s="150">
        <f t="shared" si="2"/>
        <v>5.25</v>
      </c>
      <c r="L41" s="143"/>
    </row>
    <row r="42" spans="1:12" x14ac:dyDescent="0.2">
      <c r="A42" s="175"/>
      <c r="B42" s="201" t="s">
        <v>29</v>
      </c>
      <c r="C42" s="218" t="str">
        <f>IF(B42=0,"",VLOOKUP($B42,Materials!$B$2:$H$127,2,FALSE))</f>
        <v>Herbicide</v>
      </c>
      <c r="D42" s="218"/>
      <c r="E42" s="218"/>
      <c r="F42" s="203">
        <v>3</v>
      </c>
      <c r="G42" s="205">
        <v>1</v>
      </c>
      <c r="H42" s="206">
        <v>32</v>
      </c>
      <c r="I42" s="153" t="str">
        <f>IF($B42=0,"",VLOOKUP($B42,Materials!$B$2:$H$127,5,FALSE))</f>
        <v>ounce</v>
      </c>
      <c r="J42" s="142">
        <f>IF($B42=0,"",VLOOKUP($B42,Materials!$B$2:$H$127,7,FALSE))</f>
        <v>0.125</v>
      </c>
      <c r="K42" s="150">
        <f t="shared" si="2"/>
        <v>4</v>
      </c>
      <c r="L42" s="143"/>
    </row>
    <row r="43" spans="1:12" x14ac:dyDescent="0.2">
      <c r="A43" s="175"/>
      <c r="B43" s="201" t="s">
        <v>439</v>
      </c>
      <c r="C43" s="218" t="str">
        <f>IF(B43=0,"",VLOOKUP($B43,Materials!$B$2:$H$127,2,FALSE))</f>
        <v>Additive</v>
      </c>
      <c r="D43" s="218"/>
      <c r="E43" s="218"/>
      <c r="F43" s="203">
        <v>3</v>
      </c>
      <c r="G43" s="205">
        <v>1</v>
      </c>
      <c r="H43" s="206">
        <v>1.7</v>
      </c>
      <c r="I43" s="153" t="str">
        <f>IF($B43=0,"",VLOOKUP($B43,Materials!$B$2:$H$127,5,FALSE))</f>
        <v>pound</v>
      </c>
      <c r="J43" s="142">
        <f>IF($B43=0,"",VLOOKUP($B43,Materials!$B$2:$H$127,7,FALSE))</f>
        <v>0.35</v>
      </c>
      <c r="K43" s="150">
        <f t="shared" si="2"/>
        <v>0.6</v>
      </c>
      <c r="L43" s="143"/>
    </row>
    <row r="44" spans="1:12" x14ac:dyDescent="0.2">
      <c r="A44" s="175"/>
      <c r="B44" s="201" t="s">
        <v>29</v>
      </c>
      <c r="C44" s="218" t="str">
        <f>IF(B44=0,"",VLOOKUP($B44,Materials!$B$2:$H$127,2,FALSE))</f>
        <v>Herbicide</v>
      </c>
      <c r="D44" s="218"/>
      <c r="E44" s="218"/>
      <c r="F44" s="203">
        <v>4</v>
      </c>
      <c r="G44" s="205">
        <v>1</v>
      </c>
      <c r="H44" s="206">
        <v>32</v>
      </c>
      <c r="I44" s="153" t="str">
        <f>IF($B44=0,"",VLOOKUP($B44,Materials!$B$2:$H$127,5,FALSE))</f>
        <v>ounce</v>
      </c>
      <c r="J44" s="142">
        <f>IF($B44=0,"",VLOOKUP($B44,Materials!$B$2:$H$127,7,FALSE))</f>
        <v>0.125</v>
      </c>
      <c r="K44" s="150">
        <f t="shared" si="2"/>
        <v>4</v>
      </c>
      <c r="L44" s="143"/>
    </row>
    <row r="45" spans="1:12" x14ac:dyDescent="0.2">
      <c r="A45" s="175"/>
      <c r="B45" s="201" t="s">
        <v>439</v>
      </c>
      <c r="C45" s="218" t="str">
        <f>IF(B45=0,"",VLOOKUP($B45,Materials!$B$2:$H$127,2,FALSE))</f>
        <v>Additive</v>
      </c>
      <c r="D45" s="218"/>
      <c r="E45" s="218"/>
      <c r="F45" s="203">
        <v>4</v>
      </c>
      <c r="G45" s="205">
        <v>1</v>
      </c>
      <c r="H45" s="206">
        <v>1.7</v>
      </c>
      <c r="I45" s="153" t="str">
        <f>IF($B45=0,"",VLOOKUP($B45,Materials!$B$2:$H$127,5,FALSE))</f>
        <v>pound</v>
      </c>
      <c r="J45" s="142">
        <f>IF($B45=0,"",VLOOKUP($B45,Materials!$B$2:$H$127,7,FALSE))</f>
        <v>0.35</v>
      </c>
      <c r="K45" s="150">
        <f t="shared" si="2"/>
        <v>0.6</v>
      </c>
      <c r="L45" s="143"/>
    </row>
    <row r="46" spans="1:12" x14ac:dyDescent="0.2">
      <c r="A46" s="175"/>
      <c r="B46" s="201" t="s">
        <v>29</v>
      </c>
      <c r="C46" s="218" t="str">
        <f>IF(B46=0,"",VLOOKUP($B46,Materials!$B$2:$H$127,2,FALSE))</f>
        <v>Herbicide</v>
      </c>
      <c r="D46" s="218"/>
      <c r="E46" s="218"/>
      <c r="F46" s="203">
        <v>5</v>
      </c>
      <c r="G46" s="205">
        <v>1</v>
      </c>
      <c r="H46" s="206">
        <v>32</v>
      </c>
      <c r="I46" s="153" t="str">
        <f>IF($B46=0,"",VLOOKUP($B46,Materials!$B$2:$H$127,5,FALSE))</f>
        <v>ounce</v>
      </c>
      <c r="J46" s="142">
        <f>IF($B46=0,"",VLOOKUP($B46,Materials!$B$2:$H$127,7,FALSE))</f>
        <v>0.125</v>
      </c>
      <c r="K46" s="150">
        <f t="shared" si="2"/>
        <v>4</v>
      </c>
      <c r="L46" s="143"/>
    </row>
    <row r="47" spans="1:12" x14ac:dyDescent="0.2">
      <c r="A47" s="175"/>
      <c r="B47" s="201" t="s">
        <v>439</v>
      </c>
      <c r="C47" s="218" t="str">
        <f>IF(B47=0,"",VLOOKUP($B47,Materials!$B$2:$H$127,2,FALSE))</f>
        <v>Additive</v>
      </c>
      <c r="D47" s="218"/>
      <c r="E47" s="218"/>
      <c r="F47" s="203">
        <v>5</v>
      </c>
      <c r="G47" s="205">
        <v>1</v>
      </c>
      <c r="H47" s="206">
        <v>1.7</v>
      </c>
      <c r="I47" s="153" t="str">
        <f>IF($B47=0,"",VLOOKUP($B47,Materials!$B$2:$H$127,5,FALSE))</f>
        <v>pound</v>
      </c>
      <c r="J47" s="142">
        <f>IF($B47=0,"",VLOOKUP($B47,Materials!$B$2:$H$127,7,FALSE))</f>
        <v>0.35</v>
      </c>
      <c r="K47" s="150">
        <f t="shared" si="2"/>
        <v>0.6</v>
      </c>
      <c r="L47" s="143"/>
    </row>
    <row r="48" spans="1:12" x14ac:dyDescent="0.2">
      <c r="A48" s="175"/>
      <c r="B48" s="201" t="s">
        <v>6</v>
      </c>
      <c r="C48" s="218" t="str">
        <f>IF(B48=0,"",VLOOKUP($B48,Materials!$B$2:$H$127,2,FALSE))</f>
        <v>Fertilizer</v>
      </c>
      <c r="D48" s="218"/>
      <c r="E48" s="218"/>
      <c r="F48" s="203">
        <v>6</v>
      </c>
      <c r="G48" s="205">
        <v>1</v>
      </c>
      <c r="H48" s="206">
        <v>8</v>
      </c>
      <c r="I48" s="153" t="str">
        <f>IF($B48=0,"",VLOOKUP($B48,Materials!$B$2:$H$127,5,FALSE))</f>
        <v>gallon</v>
      </c>
      <c r="J48" s="142">
        <f>IF($B48=0,"",VLOOKUP($B48,Materials!$B$2:$H$127,7,FALSE))</f>
        <v>2.8</v>
      </c>
      <c r="K48" s="150">
        <f t="shared" si="2"/>
        <v>22.4</v>
      </c>
      <c r="L48" s="143"/>
    </row>
    <row r="49" spans="1:12" x14ac:dyDescent="0.2">
      <c r="A49" s="175"/>
      <c r="B49" s="201" t="s">
        <v>574</v>
      </c>
      <c r="C49" s="218" t="str">
        <f>IF(B49=0,"",VLOOKUP($B49,Materials!$B$2:$H$127,2,FALSE))</f>
        <v>Seed</v>
      </c>
      <c r="D49" s="218"/>
      <c r="E49" s="218"/>
      <c r="F49" s="203">
        <v>6</v>
      </c>
      <c r="G49" s="205">
        <v>1</v>
      </c>
      <c r="H49" s="206">
        <v>60</v>
      </c>
      <c r="I49" s="153" t="str">
        <f>IF($B49=0,"",VLOOKUP($B49,Materials!$B$2:$H$127,5,FALSE))</f>
        <v>pound</v>
      </c>
      <c r="J49" s="142">
        <f>IF($B49=0,"",VLOOKUP($B49,Materials!$B$2:$H$127,7,FALSE))</f>
        <v>0.31</v>
      </c>
      <c r="K49" s="150">
        <f t="shared" si="2"/>
        <v>18.600000000000001</v>
      </c>
      <c r="L49" s="143"/>
    </row>
    <row r="50" spans="1:12" x14ac:dyDescent="0.2">
      <c r="A50" s="175"/>
      <c r="B50" s="201" t="s">
        <v>14</v>
      </c>
      <c r="C50" s="218" t="str">
        <f>IF(B50=0,"",VLOOKUP($B50,Materials!$B$2:$H$127,2,FALSE))</f>
        <v>Fertilizer</v>
      </c>
      <c r="D50" s="218"/>
      <c r="E50" s="218"/>
      <c r="F50" s="203">
        <v>7</v>
      </c>
      <c r="G50" s="205">
        <v>1</v>
      </c>
      <c r="H50" s="206">
        <v>70</v>
      </c>
      <c r="I50" s="153" t="str">
        <f>IF($B50=0,"",VLOOKUP($B50,Materials!$B$2:$H$127,5,FALSE))</f>
        <v>lbs N</v>
      </c>
      <c r="J50" s="142">
        <f>IF($B50=0,"",VLOOKUP($B50,Materials!$B$2:$H$127,7,FALSE))</f>
        <v>0.48</v>
      </c>
      <c r="K50" s="150">
        <f t="shared" si="2"/>
        <v>33.6</v>
      </c>
      <c r="L50" s="143"/>
    </row>
    <row r="51" spans="1:12" x14ac:dyDescent="0.2">
      <c r="A51" s="180"/>
      <c r="B51" s="201" t="s">
        <v>432</v>
      </c>
      <c r="C51" s="218" t="str">
        <f>IF(B51=0,"",VLOOKUP($B51,Materials!$B$2:$H$127,2,FALSE))</f>
        <v>Herbicide</v>
      </c>
      <c r="D51" s="218"/>
      <c r="E51" s="218"/>
      <c r="F51" s="203">
        <v>8</v>
      </c>
      <c r="G51" s="205">
        <v>1</v>
      </c>
      <c r="H51" s="206">
        <v>0.3</v>
      </c>
      <c r="I51" s="153" t="str">
        <f>IF($B51=0,"",VLOOKUP($B51,Materials!$B$2:$H$127,5,FALSE))</f>
        <v>ounce</v>
      </c>
      <c r="J51" s="142">
        <f>IF($B51=0,"",VLOOKUP($B51,Materials!$B$2:$H$127,7,FALSE))</f>
        <v>9</v>
      </c>
      <c r="K51" s="150">
        <f t="shared" si="2"/>
        <v>2.7</v>
      </c>
      <c r="L51" s="143"/>
    </row>
    <row r="52" spans="1:12" x14ac:dyDescent="0.2">
      <c r="A52" s="180"/>
      <c r="B52" s="201" t="s">
        <v>12</v>
      </c>
      <c r="C52" s="218" t="str">
        <f>IF(B52=0,"",VLOOKUP($B52,Materials!$B$2:$H$127,2,FALSE))</f>
        <v>Herbicide</v>
      </c>
      <c r="D52" s="218"/>
      <c r="E52" s="218"/>
      <c r="F52" s="203">
        <v>8</v>
      </c>
      <c r="G52" s="205">
        <v>1</v>
      </c>
      <c r="H52" s="206">
        <v>0.5</v>
      </c>
      <c r="I52" s="153" t="str">
        <f>IF($B52=0,"",VLOOKUP($B52,Materials!$B$2:$H$127,5,FALSE))</f>
        <v>pint</v>
      </c>
      <c r="J52" s="142">
        <f>IF($B52=0,"",VLOOKUP($B52,Materials!$B$2:$H$127,7,FALSE))</f>
        <v>2.5625</v>
      </c>
      <c r="K52" s="150">
        <f t="shared" si="2"/>
        <v>1.28</v>
      </c>
      <c r="L52" s="143"/>
    </row>
    <row r="53" spans="1:12" x14ac:dyDescent="0.2">
      <c r="A53" s="180"/>
      <c r="B53" s="201" t="s">
        <v>41</v>
      </c>
      <c r="C53" s="218" t="str">
        <f>IF(B53=0,"",VLOOKUP($B53,Materials!$B$2:$H$127,2,FALSE))</f>
        <v>Additive</v>
      </c>
      <c r="D53" s="218"/>
      <c r="E53" s="218"/>
      <c r="F53" s="203">
        <v>8</v>
      </c>
      <c r="G53" s="205">
        <v>1</v>
      </c>
      <c r="H53" s="206">
        <v>6</v>
      </c>
      <c r="I53" s="153" t="str">
        <f>IF($B53=0,"",VLOOKUP($B53,Materials!$B$2:$H$127,5,FALSE))</f>
        <v>ounce</v>
      </c>
      <c r="J53" s="142">
        <f>IF($B53=0,"",VLOOKUP($B53,Materials!$B$2:$H$127,7,FALSE))</f>
        <v>0.171875</v>
      </c>
      <c r="K53" s="150">
        <f t="shared" si="2"/>
        <v>1.03</v>
      </c>
      <c r="L53" s="143"/>
    </row>
    <row r="54" spans="1:12" x14ac:dyDescent="0.2">
      <c r="A54" s="162" t="s">
        <v>381</v>
      </c>
      <c r="B54" s="201" t="s">
        <v>17</v>
      </c>
      <c r="C54" s="218" t="str">
        <f>IF(B54=0,"",VLOOKUP($B54,Materials!$B$2:$H$127,2,FALSE))</f>
        <v>Custom</v>
      </c>
      <c r="D54" s="218"/>
      <c r="E54" s="218"/>
      <c r="F54" s="203">
        <v>9</v>
      </c>
      <c r="G54" s="205">
        <v>0.2</v>
      </c>
      <c r="H54" s="206">
        <v>1</v>
      </c>
      <c r="I54" s="153" t="str">
        <f>IF($B54=0,"",VLOOKUP($B54,Materials!$B$2:$H$127,5,FALSE))</f>
        <v>acre</v>
      </c>
      <c r="J54" s="142">
        <f>IF($B54=0,"",VLOOKUP($B54,Materials!$B$2:$H$127,7,FALSE))</f>
        <v>9.5</v>
      </c>
      <c r="K54" s="150">
        <f t="shared" si="2"/>
        <v>1.9</v>
      </c>
      <c r="L54" s="143"/>
    </row>
    <row r="55" spans="1:12" x14ac:dyDescent="0.2">
      <c r="A55" s="162" t="s">
        <v>381</v>
      </c>
      <c r="B55" s="201" t="s">
        <v>54</v>
      </c>
      <c r="C55" s="218" t="str">
        <f>IF(B55=0,"",VLOOKUP($B55,Materials!$B$2:$H$127,2,FALSE))</f>
        <v>Fungicide</v>
      </c>
      <c r="D55" s="218"/>
      <c r="E55" s="218"/>
      <c r="F55" s="203">
        <v>9</v>
      </c>
      <c r="G55" s="205">
        <v>0.2</v>
      </c>
      <c r="H55" s="206">
        <v>4</v>
      </c>
      <c r="I55" s="153" t="str">
        <f>IF($B55=0,"",VLOOKUP($B55,Materials!$B$2:$H$127,5,FALSE))</f>
        <v>ounce</v>
      </c>
      <c r="J55" s="142">
        <f>IF($B55=0,"",VLOOKUP($B55,Materials!$B$2:$H$127,7,FALSE))</f>
        <v>0.8203125</v>
      </c>
      <c r="K55" s="150">
        <f t="shared" si="2"/>
        <v>0.66</v>
      </c>
      <c r="L55" s="145"/>
    </row>
    <row r="56" spans="1:12" x14ac:dyDescent="0.2">
      <c r="A56" s="162" t="s">
        <v>382</v>
      </c>
      <c r="B56" s="201" t="s">
        <v>17</v>
      </c>
      <c r="C56" s="218" t="str">
        <f>IF(B56=0,"",VLOOKUP($B56,Materials!$B$2:$H$127,2,FALSE))</f>
        <v>Custom</v>
      </c>
      <c r="D56" s="218"/>
      <c r="E56" s="218"/>
      <c r="F56" s="203">
        <v>10</v>
      </c>
      <c r="G56" s="205">
        <v>0.15</v>
      </c>
      <c r="H56" s="206">
        <v>1</v>
      </c>
      <c r="I56" s="153" t="str">
        <f>IF($B56=0,"",VLOOKUP($B56,Materials!$B$2:$H$127,5,FALSE))</f>
        <v>acre</v>
      </c>
      <c r="J56" s="142">
        <f>IF($B56=0,"",VLOOKUP($B56,Materials!$B$2:$H$127,7,FALSE))</f>
        <v>9.5</v>
      </c>
      <c r="K56" s="150">
        <f t="shared" si="2"/>
        <v>1.43</v>
      </c>
      <c r="L56" s="145"/>
    </row>
    <row r="57" spans="1:12" x14ac:dyDescent="0.2">
      <c r="A57" s="162" t="s">
        <v>382</v>
      </c>
      <c r="B57" s="201" t="s">
        <v>533</v>
      </c>
      <c r="C57" s="218" t="str">
        <f>IF(B57=0,"",VLOOKUP($B57,Materials!$B$2:$H$127,2,FALSE))</f>
        <v>Insecticide</v>
      </c>
      <c r="D57" s="218"/>
      <c r="E57" s="218"/>
      <c r="F57" s="203">
        <v>10</v>
      </c>
      <c r="G57" s="205">
        <v>0.1</v>
      </c>
      <c r="H57" s="206">
        <v>1</v>
      </c>
      <c r="I57" s="153" t="str">
        <f>IF($B57=0,"",VLOOKUP($B57,Materials!$B$2:$H$127,5,FALSE))</f>
        <v>pint</v>
      </c>
      <c r="J57" s="142">
        <f>IF($B57=0,"",VLOOKUP($B57,Materials!$B$2:$H$127,7,FALSE))</f>
        <v>6.875</v>
      </c>
      <c r="K57" s="150">
        <f t="shared" si="2"/>
        <v>0.69</v>
      </c>
      <c r="L57" s="145"/>
    </row>
    <row r="58" spans="1:12" x14ac:dyDescent="0.2">
      <c r="A58" s="162" t="s">
        <v>382</v>
      </c>
      <c r="B58" s="201" t="s">
        <v>384</v>
      </c>
      <c r="C58" s="218" t="str">
        <f>IF(B58=0,"",VLOOKUP($B58,Materials!$B$2:$H$127,2,FALSE))</f>
        <v>Insecticide</v>
      </c>
      <c r="D58" s="218"/>
      <c r="E58" s="218"/>
      <c r="F58" s="204">
        <v>10</v>
      </c>
      <c r="G58" s="205">
        <v>0.05</v>
      </c>
      <c r="H58" s="208">
        <v>1.92</v>
      </c>
      <c r="I58" s="153" t="str">
        <f>IF($B58=0,"",VLOOKUP($B58,Materials!$B$2:$H$127,5,FALSE))</f>
        <v>ounce</v>
      </c>
      <c r="J58" s="142">
        <f>IF($B58=0,"",VLOOKUP($B58,Materials!$B$2:$H$127,7,FALSE))</f>
        <v>2.96875</v>
      </c>
      <c r="K58" s="150">
        <f t="shared" si="2"/>
        <v>0.28999999999999998</v>
      </c>
      <c r="L58" s="145"/>
    </row>
    <row r="59" spans="1:12" x14ac:dyDescent="0.2">
      <c r="B59" s="201" t="s">
        <v>586</v>
      </c>
      <c r="C59" s="218" t="str">
        <f>IF(B59=0,"",VLOOKUP($B59,Materials!$B$2:$H$127,2,FALSE))</f>
        <v>Custom</v>
      </c>
      <c r="D59" s="218"/>
      <c r="E59" s="218"/>
      <c r="F59" s="204">
        <v>12</v>
      </c>
      <c r="G59" s="205">
        <v>1</v>
      </c>
      <c r="H59" s="208">
        <f>A4</f>
        <v>55</v>
      </c>
      <c r="I59" s="153" t="str">
        <f>IF($B59=0,"",VLOOKUP($B59,Materials!$B$2:$H$127,5,FALSE))</f>
        <v>bushel</v>
      </c>
      <c r="J59" s="142">
        <f>IF($B59=0,"",VLOOKUP($B59,Materials!$B$2:$H$127,7,FALSE))</f>
        <v>0.11</v>
      </c>
      <c r="K59" s="150">
        <f t="shared" si="2"/>
        <v>6.05</v>
      </c>
      <c r="L59" s="145"/>
    </row>
    <row r="60" spans="1:12" x14ac:dyDescent="0.2">
      <c r="B60" s="202" t="s">
        <v>538</v>
      </c>
      <c r="C60" s="218" t="str">
        <f>IF(B60=0,"",VLOOKUP($B60,Materials!$B$2:$H$127,2,FALSE))</f>
        <v>Scouting</v>
      </c>
      <c r="D60" s="218"/>
      <c r="E60" s="218"/>
      <c r="F60" s="204"/>
      <c r="G60" s="205">
        <v>1</v>
      </c>
      <c r="H60" s="208">
        <v>1</v>
      </c>
      <c r="I60" s="153" t="str">
        <f>IF($B60=0,"",VLOOKUP($B60,Materials!$B$2:$H$127,5,FALSE))</f>
        <v>acre</v>
      </c>
      <c r="J60" s="142">
        <f>IF($B60=0,"",VLOOKUP($B60,Materials!$B$2:$H$127,7,FALSE))</f>
        <v>7</v>
      </c>
      <c r="K60" s="150">
        <f t="shared" si="2"/>
        <v>7</v>
      </c>
      <c r="L60" s="145"/>
    </row>
    <row r="61" spans="1:12" x14ac:dyDescent="0.2">
      <c r="B61" s="202" t="s">
        <v>451</v>
      </c>
      <c r="C61" s="218" t="str">
        <f>IF(B61=0,0,"Crop Insurance")</f>
        <v>Crop Insurance</v>
      </c>
      <c r="D61" s="218"/>
      <c r="E61" s="218"/>
      <c r="F61" s="144"/>
      <c r="G61" s="198"/>
      <c r="H61" s="200"/>
      <c r="I61" s="192"/>
      <c r="J61" s="142">
        <v>6.92</v>
      </c>
      <c r="K61" s="142">
        <f>IF(B61=0,0,J61)</f>
        <v>6.92</v>
      </c>
      <c r="L61" s="145"/>
    </row>
    <row r="62" spans="1:12" ht="3.75" customHeight="1" thickBot="1" x14ac:dyDescent="0.25">
      <c r="B62" s="146"/>
      <c r="C62" s="154"/>
      <c r="D62" s="154"/>
      <c r="E62" s="154"/>
      <c r="F62" s="147"/>
      <c r="G62" s="188"/>
      <c r="H62" s="156"/>
      <c r="I62" s="157"/>
      <c r="J62" s="158"/>
      <c r="K62" s="159"/>
      <c r="L62" s="149"/>
    </row>
    <row r="63" spans="1:12" ht="13.5" thickTop="1" x14ac:dyDescent="0.2">
      <c r="C63" s="139" t="s">
        <v>84</v>
      </c>
      <c r="D63" s="139"/>
      <c r="J63" s="160"/>
      <c r="K63" s="161">
        <f>SUM(K37:K61)</f>
        <v>132.80000000000001</v>
      </c>
      <c r="L63" s="143"/>
    </row>
    <row r="64" spans="1:12" ht="24.75" customHeight="1" x14ac:dyDescent="0.2">
      <c r="B64" s="233" t="s">
        <v>598</v>
      </c>
      <c r="C64" s="233"/>
      <c r="K64" s="161"/>
    </row>
    <row r="65" spans="2:12" x14ac:dyDescent="0.2">
      <c r="B65" s="140" t="s">
        <v>562</v>
      </c>
      <c r="K65" s="161">
        <f>K33+K63</f>
        <v>198.67000000000002</v>
      </c>
      <c r="L65" s="143"/>
    </row>
    <row r="66" spans="2:12" ht="13.5" thickBot="1" x14ac:dyDescent="0.25">
      <c r="D66" s="162" t="s">
        <v>580</v>
      </c>
      <c r="E66" s="163">
        <f>ROUND(SUM($E$33:$H$33)+$K$63,2)</f>
        <v>169.91</v>
      </c>
      <c r="F66" s="220" t="s">
        <v>360</v>
      </c>
      <c r="G66" s="220"/>
      <c r="H66" s="164">
        <f>'General Variables'!$B$11</f>
        <v>5.5E-2</v>
      </c>
      <c r="I66" s="165" t="str">
        <f>CONCATENATE("for ",TEXT('General Variables'!$B$12,"0.0")," mo.")</f>
        <v>for 6.0 mo.</v>
      </c>
      <c r="K66" s="166">
        <f>E66*H66*'General Variables'!$B$12/12</f>
        <v>4.6725250000000003</v>
      </c>
      <c r="L66" s="167"/>
    </row>
    <row r="67" spans="2:12" ht="13.5" thickTop="1" x14ac:dyDescent="0.2">
      <c r="B67" s="140" t="s">
        <v>364</v>
      </c>
      <c r="K67" s="161">
        <f>SUM(K65:K66)</f>
        <v>203.34252500000002</v>
      </c>
      <c r="L67" s="143"/>
    </row>
    <row r="68" spans="2:12" x14ac:dyDescent="0.2">
      <c r="K68" s="161"/>
    </row>
    <row r="69" spans="2:12" x14ac:dyDescent="0.2">
      <c r="B69" s="168" t="s">
        <v>596</v>
      </c>
      <c r="C69" s="169"/>
      <c r="D69" s="169"/>
      <c r="E69" s="169"/>
      <c r="F69" s="169"/>
      <c r="G69" s="169"/>
      <c r="H69" s="169"/>
      <c r="I69" s="169"/>
      <c r="J69" s="169"/>
      <c r="K69" s="170">
        <f>'General Variables'!B14</f>
        <v>20</v>
      </c>
      <c r="L69" s="143"/>
    </row>
    <row r="70" spans="2:12" x14ac:dyDescent="0.2">
      <c r="B70" s="129" t="s">
        <v>367</v>
      </c>
      <c r="C70" s="221" t="s">
        <v>427</v>
      </c>
      <c r="D70" s="222"/>
      <c r="E70" s="223"/>
      <c r="F70" s="171">
        <f>IF(C70=0,0,VLOOKUP(C70,RETable,2,FALSE)*2)</f>
        <v>1460</v>
      </c>
      <c r="G70" s="220" t="s">
        <v>368</v>
      </c>
      <c r="H70" s="220"/>
      <c r="I70" s="164">
        <f>'General Variables'!$B$10</f>
        <v>0.04</v>
      </c>
      <c r="K70" s="172">
        <f>ROUND(F70*I70,2)*2</f>
        <v>116.8</v>
      </c>
      <c r="L70" s="143"/>
    </row>
    <row r="71" spans="2:12" ht="13.5" thickBot="1" x14ac:dyDescent="0.25">
      <c r="B71" s="129" t="s">
        <v>376</v>
      </c>
      <c r="F71" s="173">
        <f>IF(C70=0,0,VLOOKUP(C70,RETable,2,FALSE)*2)</f>
        <v>1460</v>
      </c>
      <c r="G71" s="219" t="s">
        <v>368</v>
      </c>
      <c r="H71" s="219"/>
      <c r="I71" s="174">
        <f>'General Variables'!$B$13</f>
        <v>0.01</v>
      </c>
      <c r="J71" s="175"/>
      <c r="K71" s="176">
        <f>ROUND(F71*I71,2)*2</f>
        <v>29.2</v>
      </c>
      <c r="L71" s="167"/>
    </row>
    <row r="72" spans="2:12" ht="13.5" thickTop="1" x14ac:dyDescent="0.2">
      <c r="B72" s="140" t="s">
        <v>383</v>
      </c>
      <c r="K72" s="161">
        <f>SUM(K67:K71)</f>
        <v>369.34252500000002</v>
      </c>
      <c r="L72" s="143"/>
    </row>
    <row r="73" spans="2:12" x14ac:dyDescent="0.2">
      <c r="K73" s="162"/>
    </row>
    <row r="74" spans="2:12" x14ac:dyDescent="0.2">
      <c r="B74" s="140" t="str">
        <f>"Cost per "&amp;$B$4</f>
        <v>Cost per bu</v>
      </c>
      <c r="K74" s="177">
        <f>IF(A4="Yield",0,K72/$A$4)</f>
        <v>6.7153186363636364</v>
      </c>
      <c r="L74" s="143"/>
    </row>
    <row r="75" spans="2:12" x14ac:dyDescent="0.2">
      <c r="B75" s="178" t="str">
        <f>"Cash Cost per "&amp;$B$4</f>
        <v>Cash Cost per bu</v>
      </c>
      <c r="C75" s="175"/>
      <c r="D75" s="175"/>
      <c r="E75" s="175"/>
      <c r="F75" s="175"/>
      <c r="G75" s="175"/>
      <c r="H75" s="175"/>
      <c r="I75" s="175"/>
      <c r="J75" s="175"/>
      <c r="K75" s="179">
        <f>IF($A$4="Yield",0,(E66+K66+K71)/$A$4)</f>
        <v>3.7051368181818178</v>
      </c>
      <c r="L75" s="186"/>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506</v>
      </c>
    </row>
    <row r="112" spans="2:11" x14ac:dyDescent="0.2">
      <c r="B112" s="175"/>
      <c r="C112" s="175"/>
      <c r="D112" s="175"/>
      <c r="H112" s="129" t="str">
        <f>'General Variables'!A20</f>
        <v>Corn Irrigated</v>
      </c>
      <c r="K112" s="129" t="s">
        <v>507</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5">
    <mergeCell ref="L35:L36"/>
    <mergeCell ref="A7:L7"/>
    <mergeCell ref="B10:B11"/>
    <mergeCell ref="C10:C11"/>
    <mergeCell ref="E10:E11"/>
    <mergeCell ref="F10:F11"/>
    <mergeCell ref="G10:H10"/>
    <mergeCell ref="K10:K11"/>
    <mergeCell ref="L10:L11"/>
    <mergeCell ref="I10:J10"/>
    <mergeCell ref="C47:E47"/>
    <mergeCell ref="F35:F36"/>
    <mergeCell ref="G35:G36"/>
    <mergeCell ref="H35:I35"/>
    <mergeCell ref="J35:J36"/>
    <mergeCell ref="G71:H71"/>
    <mergeCell ref="C60:E60"/>
    <mergeCell ref="C49:E49"/>
    <mergeCell ref="C50:E50"/>
    <mergeCell ref="C51:E51"/>
    <mergeCell ref="C52:E52"/>
    <mergeCell ref="C53:E53"/>
    <mergeCell ref="C54:E54"/>
    <mergeCell ref="C55:E55"/>
    <mergeCell ref="C56:E56"/>
    <mergeCell ref="C57:E57"/>
    <mergeCell ref="C58:E58"/>
    <mergeCell ref="C59:E59"/>
    <mergeCell ref="B64:C64"/>
    <mergeCell ref="A5:L5"/>
    <mergeCell ref="C61:E61"/>
    <mergeCell ref="F66:G66"/>
    <mergeCell ref="C70:E70"/>
    <mergeCell ref="G70:H70"/>
    <mergeCell ref="C48:E48"/>
    <mergeCell ref="C37:E37"/>
    <mergeCell ref="C38:E38"/>
    <mergeCell ref="C39:E39"/>
    <mergeCell ref="C40:E40"/>
    <mergeCell ref="C41:E41"/>
    <mergeCell ref="C42:E42"/>
    <mergeCell ref="C43:E43"/>
    <mergeCell ref="C44:E44"/>
    <mergeCell ref="C45:E45"/>
    <mergeCell ref="C46:E46"/>
  </mergeCells>
  <dataValidations count="7">
    <dataValidation type="list" allowBlank="1" showInputMessage="1" showErrorMessage="1" sqref="D12:D32">
      <formula1>$O$2:$O$4</formula1>
    </dataValidation>
    <dataValidation type="list" allowBlank="1" showInputMessage="1" showErrorMessage="1" sqref="B62">
      <formula1>$C$110:$C$228</formula1>
    </dataValidation>
    <dataValidation type="list" allowBlank="1" showInputMessage="1" showErrorMessage="1" sqref="B32">
      <formula1>$B$110:$B$207</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2">
    <pageSetUpPr fitToPage="1"/>
  </sheetPr>
  <dimension ref="A2:O255"/>
  <sheetViews>
    <sheetView topLeftCell="A19"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67-Wheat</v>
      </c>
      <c r="B2" s="131"/>
      <c r="C2" s="132" t="s">
        <v>550</v>
      </c>
      <c r="D2" s="132"/>
      <c r="E2" s="131"/>
      <c r="I2" s="133" t="s">
        <v>419</v>
      </c>
      <c r="J2" s="131"/>
      <c r="L2" s="134" t="str">
        <f>'General Variables'!A3&amp;" "&amp;'General Variables'!B3</f>
        <v>Year 2016</v>
      </c>
      <c r="O2" s="135" t="s">
        <v>407</v>
      </c>
    </row>
    <row r="3" spans="1:15" hidden="1" x14ac:dyDescent="0.2">
      <c r="A3" s="130" t="s">
        <v>554</v>
      </c>
      <c r="B3" s="131"/>
      <c r="C3" s="132"/>
      <c r="D3" s="132"/>
      <c r="E3" s="131"/>
      <c r="G3" s="136"/>
      <c r="I3" s="131" t="s">
        <v>540</v>
      </c>
      <c r="O3" s="135" t="s">
        <v>406</v>
      </c>
    </row>
    <row r="4" spans="1:15" hidden="1" x14ac:dyDescent="0.2">
      <c r="A4" s="130">
        <v>50</v>
      </c>
      <c r="B4" s="130" t="s">
        <v>56</v>
      </c>
      <c r="C4" s="132"/>
      <c r="D4" s="132"/>
      <c r="E4" s="131"/>
      <c r="F4" s="131"/>
      <c r="G4" s="131"/>
      <c r="H4" s="131"/>
      <c r="I4" s="131"/>
      <c r="J4" s="134" t="s">
        <v>505</v>
      </c>
      <c r="K4" s="140"/>
      <c r="O4" s="135" t="str">
        <f>B4</f>
        <v>bu</v>
      </c>
    </row>
    <row r="5" spans="1:15" ht="15.75" hidden="1" x14ac:dyDescent="0.25">
      <c r="A5" s="217" t="str">
        <f ca="1" xml:space="preserve"> A2  &amp; IF(C2="","",  ", " &amp;C2 ) &amp; ", " &amp; A3 &amp; ", " &amp; I2</f>
        <v>67-Wheat, Stubble Mulch Fallow, One Crop in Two Years, 55 bu Yield Goal, Dryland</v>
      </c>
      <c r="B5" s="217"/>
      <c r="C5" s="217"/>
      <c r="D5" s="217"/>
      <c r="E5" s="217"/>
      <c r="F5" s="217"/>
      <c r="G5" s="217"/>
      <c r="H5" s="217"/>
      <c r="I5" s="217"/>
      <c r="J5" s="217"/>
      <c r="K5" s="217"/>
      <c r="L5" s="217"/>
      <c r="O5" s="135"/>
    </row>
    <row r="6" spans="1:15" ht="15.75" hidden="1" x14ac:dyDescent="0.25">
      <c r="A6" s="191"/>
      <c r="B6" s="191"/>
      <c r="C6" s="191"/>
      <c r="D6" s="191"/>
      <c r="E6" s="191"/>
      <c r="F6" s="191"/>
      <c r="G6" s="191"/>
      <c r="H6" s="191"/>
      <c r="I6" s="191"/>
      <c r="J6" s="191"/>
      <c r="K6" s="191"/>
      <c r="L6" s="191"/>
      <c r="O6" s="135"/>
    </row>
    <row r="7" spans="1:15" ht="30" customHeight="1" x14ac:dyDescent="0.25">
      <c r="A7" s="217" t="str">
        <f ca="1">'General Variables'!B3 &amp; " Budget "  &amp; A2 &amp;", "  &amp; IF(C2=0,"", " " &amp; C2 &amp; ", ") &amp;  A3 &amp; IF(A4=""," ", " (") &amp; A4 &amp; " " &amp; B4 &amp; IF(A4="",""," Actual Yield)")</f>
        <v>2016 Budget 67-Wheat,  Stubble Mulch Fallow, One Crop in Two Years, 55 bu Yield Goal (50 bu Actual Yield)</v>
      </c>
      <c r="B7" s="217"/>
      <c r="C7" s="217"/>
      <c r="D7" s="217"/>
      <c r="E7" s="217"/>
      <c r="F7" s="217"/>
      <c r="G7" s="217"/>
      <c r="H7" s="217"/>
      <c r="I7" s="217"/>
      <c r="J7" s="217"/>
      <c r="K7" s="217"/>
      <c r="L7" s="217"/>
      <c r="O7" s="135"/>
    </row>
    <row r="8" spans="1:15" ht="15.75" x14ac:dyDescent="0.25">
      <c r="A8" s="187" t="str">
        <f>IF(I2="Dryland","Dryland",I2 &amp; IF(J2="","",", "&amp;J2)&amp;IF(H3="","",", "&amp;H3&amp;" "&amp;I3))</f>
        <v>Dryland</v>
      </c>
      <c r="B8" s="130"/>
      <c r="C8" s="132"/>
      <c r="D8" s="132"/>
      <c r="E8" s="131"/>
      <c r="F8" s="131"/>
      <c r="G8" s="131"/>
      <c r="H8" s="131"/>
      <c r="I8" s="131"/>
      <c r="O8" s="135"/>
    </row>
    <row r="10" spans="1:15" s="140" customFormat="1" ht="22.5" customHeight="1" x14ac:dyDescent="0.2">
      <c r="B10" s="226" t="s">
        <v>71</v>
      </c>
      <c r="C10" s="225" t="s">
        <v>1</v>
      </c>
      <c r="D10" s="195"/>
      <c r="E10" s="225" t="str">
        <f>"Labor @ $" &amp;TEXT('General Variables'!B4,"#.00")&amp; " /Hr"</f>
        <v>Labor @ $20.00 /Hr</v>
      </c>
      <c r="F10" s="225" t="str">
        <f>"Fuel @ $" &amp; TEXT('General Variables'!B5,"#.00") &amp; " and Lube"</f>
        <v>Fuel @ $2.25 and Lube</v>
      </c>
      <c r="G10" s="228" t="s">
        <v>72</v>
      </c>
      <c r="H10" s="228"/>
      <c r="I10" s="228" t="s">
        <v>352</v>
      </c>
      <c r="J10" s="228"/>
      <c r="K10" s="228" t="s">
        <v>2</v>
      </c>
      <c r="L10" s="225" t="s">
        <v>359</v>
      </c>
    </row>
    <row r="11" spans="1:15" s="140" customFormat="1" ht="21.75" customHeight="1" thickBot="1" x14ac:dyDescent="0.25">
      <c r="B11" s="227"/>
      <c r="C11" s="224"/>
      <c r="D11" s="194" t="s">
        <v>70</v>
      </c>
      <c r="E11" s="224"/>
      <c r="F11" s="224"/>
      <c r="G11" s="196" t="s">
        <v>73</v>
      </c>
      <c r="H11" s="196" t="s">
        <v>75</v>
      </c>
      <c r="I11" s="196" t="s">
        <v>73</v>
      </c>
      <c r="J11" s="196" t="s">
        <v>75</v>
      </c>
      <c r="K11" s="229"/>
      <c r="L11" s="224"/>
    </row>
    <row r="12" spans="1:15" ht="13.5" thickTop="1" x14ac:dyDescent="0.2">
      <c r="A12" s="193">
        <v>1</v>
      </c>
      <c r="B12" s="201" t="s">
        <v>279</v>
      </c>
      <c r="C12" s="203">
        <v>1</v>
      </c>
      <c r="D12" s="197"/>
      <c r="E12" s="142">
        <f>IF(B12=0,"",IF(C12&gt;9999,"",ROUND('General Variables'!$B$4*VLOOKUP(B12,Operations!$A$2:$U$101,10,FALSE)/VLOOKUP(B12,Operations!$A$2:$U$101,9,FALSE)*C12,2)))</f>
        <v>1.76</v>
      </c>
      <c r="F12" s="142">
        <f>IF(B12=0,0,IF(C12&gt;9999,"",ROUND(IF(VLOOKUP(B12,Operations!$A$2:$U$101,12,FALSE)=0,VLOOKUP(B12,Operations!$A$2:$U$101,13,FALSE)*'General Variables'!$B$8,VLOOKUP(B12,Operations!$A$2:$U$101,12,FALSE)*'General Variables'!$B$7)/VLOOKUP(B12,Operations!$A$2:$U$101,9,FALSE)*C12,2)))</f>
        <v>1.78</v>
      </c>
      <c r="G12" s="142">
        <f>IF(B12=0,0,IF(C12&gt;9999,"",ROUND(VLOOKUP(VLOOKUP(B12,Operations!$A$2:$U$101,11,FALSE),PowerUnits[],10,FALSE)/VLOOKUP(B12,Operations!$A$2:$U$101,9,FALSE)*C12,2)))</f>
        <v>0.25</v>
      </c>
      <c r="H12" s="142">
        <f>IF(B12=0,"",IF(C12&gt;9999,"",ROUND(VLOOKUP($B12,Operations!$A$2:$U$101,15,FALSE)*C12,2)))</f>
        <v>0.92</v>
      </c>
      <c r="I12" s="142">
        <f>IF(B12=0,0,IF(C12&gt;9999,"",ROUND(VLOOKUP(VLOOKUP(B12,Operations!$A$2:$U$101,11,FALSE),PowerUnits[],16,FALSE)/VLOOKUP(B12,Operations!$A$2:$U$101,9,FALSE)*C12,2)))</f>
        <v>3.62</v>
      </c>
      <c r="J12" s="142">
        <f>IF(B12=0,"",IF(C12&gt;9999,"",ROUND(VLOOKUP($B12,Operations!$A$2:$U$101,21,FALSE)*$C12,2)))</f>
        <v>1.57</v>
      </c>
      <c r="K12" s="142">
        <f>IF(C12&gt;9999,"",ROUND(SUM(E12:J12),2))</f>
        <v>9.9</v>
      </c>
      <c r="L12" s="143"/>
    </row>
    <row r="13" spans="1:15" x14ac:dyDescent="0.2">
      <c r="A13" s="193">
        <v>2</v>
      </c>
      <c r="B13" s="201" t="s">
        <v>279</v>
      </c>
      <c r="C13" s="203">
        <v>1</v>
      </c>
      <c r="D13" s="197"/>
      <c r="E13" s="142">
        <f>IF(B13=0,"",IF(C13&gt;9999,"",ROUND('General Variables'!$B$4*VLOOKUP(B13,Operations!$A$2:$U$101,10,FALSE)/VLOOKUP(B13,Operations!$A$2:$U$101,9,FALSE)*C13,2)))</f>
        <v>1.76</v>
      </c>
      <c r="F13" s="142">
        <f>IF(B13=0,0,IF(C13&gt;9999,"",ROUND(IF(VLOOKUP(B13,Operations!$A$2:$U$101,12,FALSE)=0,VLOOKUP(B13,Operations!$A$2:$U$101,13,FALSE)*'General Variables'!$B$8,VLOOKUP(B13,Operations!$A$2:$U$101,12,FALSE)*'General Variables'!$B$7)/VLOOKUP(B13,Operations!$A$2:$U$101,9,FALSE)*C13,2)))</f>
        <v>1.78</v>
      </c>
      <c r="G13" s="142">
        <f>IF(B13=0,0,IF(C13&gt;9999,"",ROUND(VLOOKUP(VLOOKUP(B13,Operations!$A$2:$U$101,11,FALSE),PowerUnits[],10,FALSE)/VLOOKUP(B13,Operations!$A$2:$U$101,9,FALSE)*C13,2)))</f>
        <v>0.25</v>
      </c>
      <c r="H13" s="142">
        <f>IF(B13=0,"",IF(C13&gt;9999,"",ROUND(VLOOKUP($B13,Operations!$A$2:$U$101,15,FALSE)*C13,2)))</f>
        <v>0.92</v>
      </c>
      <c r="I13" s="142">
        <f>IF(B13=0,0,IF(C13&gt;9999,"",ROUND(VLOOKUP(VLOOKUP(B13,Operations!$A$2:$U$101,11,FALSE),PowerUnits[],16,FALSE)/VLOOKUP(B13,Operations!$A$2:$U$101,9,FALSE)*C13,2)))</f>
        <v>3.62</v>
      </c>
      <c r="J13" s="142">
        <f>IF(B13=0,"",IF(C13&gt;9999,"",ROUND(VLOOKUP($B13,Operations!$A$2:$U$101,21,FALSE)*$C13,2)))</f>
        <v>1.57</v>
      </c>
      <c r="K13" s="142">
        <f t="shared" ref="K13:K31" si="0">IF(C13&gt;9999,"",ROUND(SUM(E13:J13),2))</f>
        <v>9.9</v>
      </c>
      <c r="L13" s="143"/>
    </row>
    <row r="14" spans="1:15" x14ac:dyDescent="0.2">
      <c r="A14" s="193">
        <v>3</v>
      </c>
      <c r="B14" s="201" t="s">
        <v>279</v>
      </c>
      <c r="C14" s="203">
        <v>1</v>
      </c>
      <c r="D14" s="197"/>
      <c r="E14" s="142">
        <f>IF(B14=0,"",IF(C14&gt;9999,"",ROUND('General Variables'!$B$4*VLOOKUP(B14,Operations!$A$2:$U$101,10,FALSE)/VLOOKUP(B14,Operations!$A$2:$U$101,9,FALSE)*C14,2)))</f>
        <v>1.76</v>
      </c>
      <c r="F14" s="142">
        <f>IF(B14=0,0,IF(C14&gt;9999,"",ROUND(IF(VLOOKUP(B14,Operations!$A$2:$U$101,12,FALSE)=0,VLOOKUP(B14,Operations!$A$2:$U$101,13,FALSE)*'General Variables'!$B$8,VLOOKUP(B14,Operations!$A$2:$U$101,12,FALSE)*'General Variables'!$B$7)/VLOOKUP(B14,Operations!$A$2:$U$101,9,FALSE)*C14,2)))</f>
        <v>1.78</v>
      </c>
      <c r="G14" s="142">
        <f>IF(B14=0,0,IF(C14&gt;9999,"",ROUND(VLOOKUP(VLOOKUP(B14,Operations!$A$2:$U$101,11,FALSE),PowerUnits[],10,FALSE)/VLOOKUP(B14,Operations!$A$2:$U$101,9,FALSE)*C14,2)))</f>
        <v>0.25</v>
      </c>
      <c r="H14" s="142">
        <f>IF(B14=0,"",IF(C14&gt;9999,"",ROUND(VLOOKUP($B14,Operations!$A$2:$U$101,15,FALSE)*C14,2)))</f>
        <v>0.92</v>
      </c>
      <c r="I14" s="142">
        <f>IF(B14=0,0,IF(C14&gt;9999,"",ROUND(VLOOKUP(VLOOKUP(B14,Operations!$A$2:$U$101,11,FALSE),PowerUnits[],16,FALSE)/VLOOKUP(B14,Operations!$A$2:$U$101,9,FALSE)*C14,2)))</f>
        <v>3.62</v>
      </c>
      <c r="J14" s="142">
        <f>IF(B14=0,"",IF(C14&gt;9999,"",ROUND(VLOOKUP($B14,Operations!$A$2:$U$101,21,FALSE)*$C14,2)))</f>
        <v>1.57</v>
      </c>
      <c r="K14" s="142">
        <f t="shared" si="0"/>
        <v>9.9</v>
      </c>
      <c r="L14" s="143"/>
    </row>
    <row r="15" spans="1:15" x14ac:dyDescent="0.2">
      <c r="A15" s="193">
        <v>4</v>
      </c>
      <c r="B15" s="201" t="s">
        <v>289</v>
      </c>
      <c r="C15" s="203">
        <v>1</v>
      </c>
      <c r="D15" s="197"/>
      <c r="E15" s="142">
        <f>IF(B15=0,"",IF(C15&gt;9999,"",ROUND('General Variables'!$B$4*VLOOKUP(B15,Operations!$A$2:$U$101,10,FALSE)/VLOOKUP(B15,Operations!$A$2:$U$101,9,FALSE)*C15,2)))</f>
        <v>1.52</v>
      </c>
      <c r="F15" s="142">
        <f>IF(B15=0,0,IF(C15&gt;9999,"",ROUND(IF(VLOOKUP(B15,Operations!$A$2:$U$101,12,FALSE)=0,VLOOKUP(B15,Operations!$A$2:$U$101,13,FALSE)*'General Variables'!$B$8,VLOOKUP(B15,Operations!$A$2:$U$101,12,FALSE)*'General Variables'!$B$7)/VLOOKUP(B15,Operations!$A$2:$U$101,9,FALSE)*C15,2)))</f>
        <v>1.05</v>
      </c>
      <c r="G15" s="142">
        <f>IF(B15=0,0,IF(C15&gt;9999,"",ROUND(VLOOKUP(VLOOKUP(B15,Operations!$A$2:$U$101,11,FALSE),PowerUnits[],10,FALSE)/VLOOKUP(B15,Operations!$A$2:$U$101,9,FALSE)*C15,2)))</f>
        <v>0.63</v>
      </c>
      <c r="H15" s="142">
        <f>IF(B15=0,"",IF(C15&gt;9999,"",ROUND(VLOOKUP($B15,Operations!$A$2:$U$101,15,FALSE)*C15,2)))</f>
        <v>0.23</v>
      </c>
      <c r="I15" s="142">
        <f>IF(B15=0,0,IF(C15&gt;9999,"",ROUND(VLOOKUP(VLOOKUP(B15,Operations!$A$2:$U$101,11,FALSE),PowerUnits[],16,FALSE)/VLOOKUP(B15,Operations!$A$2:$U$101,9,FALSE)*C15,2)))</f>
        <v>2.09</v>
      </c>
      <c r="J15" s="142">
        <f>IF(B15=0,"",IF(C15&gt;9999,"",ROUND(VLOOKUP($B15,Operations!$A$2:$U$101,21,FALSE)*$C15,2)))</f>
        <v>0.99</v>
      </c>
      <c r="K15" s="142">
        <f t="shared" si="0"/>
        <v>6.51</v>
      </c>
      <c r="L15" s="143"/>
    </row>
    <row r="16" spans="1:15" x14ac:dyDescent="0.2">
      <c r="A16" s="193">
        <v>5</v>
      </c>
      <c r="B16" s="201" t="s">
        <v>289</v>
      </c>
      <c r="C16" s="203">
        <v>1</v>
      </c>
      <c r="D16" s="197"/>
      <c r="E16" s="142">
        <f>IF(B16=0,"",IF(C16&gt;9999,"",ROUND('General Variables'!$B$4*VLOOKUP(B16,Operations!$A$2:$U$101,10,FALSE)/VLOOKUP(B16,Operations!$A$2:$U$101,9,FALSE)*C16,2)))</f>
        <v>1.52</v>
      </c>
      <c r="F16" s="142">
        <f>IF(B16=0,0,IF(C16&gt;9999,"",ROUND(IF(VLOOKUP(B16,Operations!$A$2:$U$101,12,FALSE)=0,VLOOKUP(B16,Operations!$A$2:$U$101,13,FALSE)*'General Variables'!$B$8,VLOOKUP(B16,Operations!$A$2:$U$101,12,FALSE)*'General Variables'!$B$7)/VLOOKUP(B16,Operations!$A$2:$U$101,9,FALSE)*C16,2)))</f>
        <v>1.05</v>
      </c>
      <c r="G16" s="142">
        <f>IF(B16=0,0,IF(C16&gt;9999,"",ROUND(VLOOKUP(VLOOKUP(B16,Operations!$A$2:$U$101,11,FALSE),PowerUnits[],10,FALSE)/VLOOKUP(B16,Operations!$A$2:$U$101,9,FALSE)*C16,2)))</f>
        <v>0.63</v>
      </c>
      <c r="H16" s="142">
        <f>IF(B16=0,"",IF(C16&gt;9999,"",ROUND(VLOOKUP($B16,Operations!$A$2:$U$101,15,FALSE)*C16,2)))</f>
        <v>0.23</v>
      </c>
      <c r="I16" s="142">
        <f>IF(B16=0,0,IF(C16&gt;9999,"",ROUND(VLOOKUP(VLOOKUP(B16,Operations!$A$2:$U$101,11,FALSE),PowerUnits[],16,FALSE)/VLOOKUP(B16,Operations!$A$2:$U$101,9,FALSE)*C16,2)))</f>
        <v>2.09</v>
      </c>
      <c r="J16" s="142">
        <f>IF(B16=0,"",IF(C16&gt;9999,"",ROUND(VLOOKUP($B16,Operations!$A$2:$U$101,21,FALSE)*$C16,2)))</f>
        <v>0.99</v>
      </c>
      <c r="K16" s="142">
        <f t="shared" si="0"/>
        <v>6.51</v>
      </c>
      <c r="L16" s="143"/>
    </row>
    <row r="17" spans="1:12" x14ac:dyDescent="0.2">
      <c r="A17" s="193">
        <v>6</v>
      </c>
      <c r="B17" s="201" t="s">
        <v>277</v>
      </c>
      <c r="C17" s="203">
        <v>1</v>
      </c>
      <c r="D17" s="197"/>
      <c r="E17" s="142">
        <f>IF(B17=0,"",IF(C17&gt;9999,"",ROUND('General Variables'!$B$4*VLOOKUP(B17,Operations!$A$2:$U$101,10,FALSE)/VLOOKUP(B17,Operations!$A$2:$U$101,9,FALSE)*C17,2)))</f>
        <v>1.76</v>
      </c>
      <c r="F17" s="142">
        <f>IF(B17=0,0,IF(C17&gt;9999,"",ROUND(IF(VLOOKUP(B17,Operations!$A$2:$U$101,12,FALSE)=0,VLOOKUP(B17,Operations!$A$2:$U$101,13,FALSE)*'General Variables'!$B$8,VLOOKUP(B17,Operations!$A$2:$U$101,12,FALSE)*'General Variables'!$B$7)/VLOOKUP(B17,Operations!$A$2:$U$101,9,FALSE)*C17,2)))</f>
        <v>1.03</v>
      </c>
      <c r="G17" s="142">
        <f>IF(B17=0,0,IF(C17&gt;9999,"",ROUND(VLOOKUP(VLOOKUP(B17,Operations!$A$2:$U$101,11,FALSE),PowerUnits[],10,FALSE)/VLOOKUP(B17,Operations!$A$2:$U$101,9,FALSE)*C17,2)))</f>
        <v>0.67</v>
      </c>
      <c r="H17" s="142">
        <f>IF(B17=0,"",IF(C17&gt;9999,"",ROUND(VLOOKUP($B17,Operations!$A$2:$U$101,15,FALSE)*C17,2)))</f>
        <v>2.94</v>
      </c>
      <c r="I17" s="142">
        <f>IF(B17=0,0,IF(C17&gt;9999,"",ROUND(VLOOKUP(VLOOKUP(B17,Operations!$A$2:$U$101,11,FALSE),PowerUnits[],16,FALSE)/VLOOKUP(B17,Operations!$A$2:$U$101,9,FALSE)*C17,2)))</f>
        <v>2.21</v>
      </c>
      <c r="J17" s="142">
        <f>IF(B17=0,"",IF(C17&gt;9999,"",ROUND(VLOOKUP($B17,Operations!$A$2:$U$101,21,FALSE)*$C17,2)))</f>
        <v>2.62</v>
      </c>
      <c r="K17" s="142">
        <f>IF(C17&gt;9999,"",ROUND(SUM(E17:J17),2))</f>
        <v>11.23</v>
      </c>
      <c r="L17" s="143"/>
    </row>
    <row r="18" spans="1:12" x14ac:dyDescent="0.2">
      <c r="A18" s="193">
        <v>7</v>
      </c>
      <c r="B18" s="201" t="s">
        <v>500</v>
      </c>
      <c r="C18" s="203">
        <v>1</v>
      </c>
      <c r="D18" s="197"/>
      <c r="E18" s="142">
        <f>IF(B18=0,"",IF(C18&gt;9999,"",ROUND('General Variables'!$B$4*VLOOKUP(B18,Operations!$A$2:$U$101,10,FALSE)/VLOOKUP(B18,Operations!$A$2:$U$101,9,FALSE)*C18,2)))</f>
        <v>1</v>
      </c>
      <c r="F18" s="142">
        <f>IF(B18=0,0,IF(C18&gt;9999,"",ROUND(IF(VLOOKUP(B18,Operations!$A$2:$U$101,12,FALSE)=0,VLOOKUP(B18,Operations!$A$2:$U$101,13,FALSE)*'General Variables'!$B$8,VLOOKUP(B18,Operations!$A$2:$U$101,12,FALSE)*'General Variables'!$B$7)/VLOOKUP(B18,Operations!$A$2:$U$101,9,FALSE)*C18,2)))</f>
        <v>0.27</v>
      </c>
      <c r="G18" s="142">
        <f>IF(B18=0,0,IF(C18&gt;9999,"",ROUND(VLOOKUP(VLOOKUP(B18,Operations!$A$2:$U$101,11,FALSE),PowerUnits[],10,FALSE)/VLOOKUP(B18,Operations!$A$2:$U$101,9,FALSE)*C18,2)))</f>
        <v>0.33</v>
      </c>
      <c r="H18" s="142">
        <f>IF(B18=0,"",IF(C18&gt;9999,"",ROUND(VLOOKUP($B18,Operations!$A$2:$U$101,15,FALSE)*C18,2)))</f>
        <v>0.19</v>
      </c>
      <c r="I18" s="142">
        <f>IF(B18=0,0,IF(C18&gt;9999,"",ROUND(VLOOKUP(VLOOKUP(B18,Operations!$A$2:$U$101,11,FALSE),PowerUnits[],16,FALSE)/VLOOKUP(B18,Operations!$A$2:$U$101,9,FALSE)*C18,2)))</f>
        <v>1.1100000000000001</v>
      </c>
      <c r="J18" s="142">
        <f>IF(B18=0,"",IF(C18&gt;9999,"",ROUND(VLOOKUP($B18,Operations!$A$2:$U$101,21,FALSE)*$C18,2)))</f>
        <v>2.21</v>
      </c>
      <c r="K18" s="142">
        <f t="shared" si="0"/>
        <v>5.1100000000000003</v>
      </c>
      <c r="L18" s="143"/>
    </row>
    <row r="19" spans="1:12" x14ac:dyDescent="0.2">
      <c r="A19" s="193">
        <v>8</v>
      </c>
      <c r="B19" s="201" t="s">
        <v>51</v>
      </c>
      <c r="C19" s="203">
        <v>1</v>
      </c>
      <c r="D19" s="197"/>
      <c r="E19" s="142">
        <f>IF(B19=0,"",IF(C19&gt;9999,"",ROUND('General Variables'!$B$4*VLOOKUP(B19,Operations!$A$2:$U$101,10,FALSE)/VLOOKUP(B19,Operations!$A$2:$U$101,9,FALSE)*C19,2)))</f>
        <v>1</v>
      </c>
      <c r="F19" s="142">
        <f>IF(B19=0,0,IF(C19&gt;9999,"",ROUND(IF(VLOOKUP(B19,Operations!$A$2:$U$101,12,FALSE)=0,VLOOKUP(B19,Operations!$A$2:$U$101,13,FALSE)*'General Variables'!$B$8,VLOOKUP(B19,Operations!$A$2:$U$101,12,FALSE)*'General Variables'!$B$7)/VLOOKUP(B19,Operations!$A$2:$U$101,9,FALSE)*C19,2)))</f>
        <v>0.27</v>
      </c>
      <c r="G19" s="142">
        <f>IF(B19=0,0,IF(C19&gt;9999,"",ROUND(VLOOKUP(VLOOKUP(B19,Operations!$A$2:$U$101,11,FALSE),PowerUnits[],10,FALSE)/VLOOKUP(B19,Operations!$A$2:$U$101,9,FALSE)*C19,2)))</f>
        <v>0.33</v>
      </c>
      <c r="H19" s="142">
        <f>IF(B19=0,"",IF(C19&gt;9999,"",ROUND(VLOOKUP($B19,Operations!$A$2:$U$101,15,FALSE)*C19,2)))</f>
        <v>0.64</v>
      </c>
      <c r="I19" s="142">
        <f>IF(B19=0,0,IF(C19&gt;9999,"",ROUND(VLOOKUP(VLOOKUP(B19,Operations!$A$2:$U$101,11,FALSE),PowerUnits[],16,FALSE)/VLOOKUP(B19,Operations!$A$2:$U$101,9,FALSE)*C19,2)))</f>
        <v>1.1100000000000001</v>
      </c>
      <c r="J19" s="142">
        <f>IF(B19=0,"",IF(C19&gt;9999,"",ROUND(VLOOKUP($B19,Operations!$A$2:$U$101,21,FALSE)*$C19,2)))</f>
        <v>0.88</v>
      </c>
      <c r="K19" s="142">
        <f t="shared" si="0"/>
        <v>4.2300000000000004</v>
      </c>
      <c r="L19" s="143"/>
    </row>
    <row r="20" spans="1:12" x14ac:dyDescent="0.2">
      <c r="A20" s="193">
        <v>9</v>
      </c>
      <c r="B20" s="201" t="s">
        <v>17</v>
      </c>
      <c r="C20" s="203" t="s">
        <v>3</v>
      </c>
      <c r="D20" s="144"/>
      <c r="E20" s="142" t="str">
        <f>IF(B20=0,"",IF(C20&gt;9999,"",ROUND('General Variables'!$B$4*VLOOKUP(B20,Operations!$A$2:$U$101,10,FALSE)/VLOOKUP(B20,Operations!$A$2:$U$101,9,FALSE)*C20,2)))</f>
        <v/>
      </c>
      <c r="F20" s="142" t="str">
        <f>IF(B20=0,0,IF(C20&gt;9999,"",ROUND(IF(VLOOKUP(B20,Operations!$A$2:$U$101,12,FALSE)=0,VLOOKUP(B20,Operations!$A$2:$U$101,13,FALSE)*'General Variables'!$B$8,VLOOKUP(B20,Operations!$A$2:$U$101,12,FALSE)*'General Variables'!$B$7)/VLOOKUP(B20,Operations!$A$2:$U$101,9,FALSE)*C20,2)))</f>
        <v/>
      </c>
      <c r="G20" s="142" t="str">
        <f>IF(B20=0,0,IF(C20&gt;9999,"",ROUND(VLOOKUP(VLOOKUP(B20,Operations!$A$2:$U$101,11,FALSE),PowerUnits[],10,FALSE)/VLOOKUP(B20,Operations!$A$2:$U$101,9,FALSE)*C20,2)))</f>
        <v/>
      </c>
      <c r="H20" s="142" t="str">
        <f>IF(B20=0,"",IF(C20&gt;9999,"",ROUND(VLOOKUP($B20,Operations!$A$2:$U$101,15,FALSE)*C20,2)))</f>
        <v/>
      </c>
      <c r="I20" s="142" t="str">
        <f>IF(B20=0,0,IF(C20&gt;9999,"",ROUND(VLOOKUP(VLOOKUP(B20,Operations!$A$2:$U$101,11,FALSE),PowerUnits[],16,FALSE)/VLOOKUP(B20,Operations!$A$2:$U$101,9,FALSE)*C20,2)))</f>
        <v/>
      </c>
      <c r="J20" s="142" t="str">
        <f>IF(B20=0,"",IF(C20&gt;9999,"",ROUND(VLOOKUP($B20,Operations!$A$2:$U$101,21,FALSE)*$C20,2)))</f>
        <v/>
      </c>
      <c r="K20" s="142" t="str">
        <f t="shared" si="0"/>
        <v/>
      </c>
      <c r="L20" s="143"/>
    </row>
    <row r="21" spans="1:12" x14ac:dyDescent="0.2">
      <c r="A21" s="193">
        <v>10</v>
      </c>
      <c r="B21" s="201" t="s">
        <v>17</v>
      </c>
      <c r="C21" s="203" t="s">
        <v>3</v>
      </c>
      <c r="D21" s="144"/>
      <c r="E21" s="142" t="str">
        <f>IF(B21=0,"",IF(C21&gt;9999,"",ROUND('General Variables'!$B$4*VLOOKUP(B21,Operations!$A$2:$U$101,10,FALSE)/VLOOKUP(B21,Operations!$A$2:$U$101,9,FALSE)*C21,2)))</f>
        <v/>
      </c>
      <c r="F21" s="142" t="str">
        <f>IF(B21=0,0,IF(C21&gt;9999,"",ROUND(IF(VLOOKUP(B21,Operations!$A$2:$U$101,12,FALSE)=0,VLOOKUP(B21,Operations!$A$2:$U$101,13,FALSE)*'General Variables'!$B$8,VLOOKUP(B21,Operations!$A$2:$U$101,12,FALSE)*'General Variables'!$B$7)/VLOOKUP(B21,Operations!$A$2:$U$101,9,FALSE)*C21,2)))</f>
        <v/>
      </c>
      <c r="G21" s="142" t="str">
        <f>IF(B21=0,0,IF(C21&gt;9999,"",ROUND(VLOOKUP(VLOOKUP(B21,Operations!$A$2:$U$101,11,FALSE),PowerUnits[],10,FALSE)/VLOOKUP(B21,Operations!$A$2:$U$101,9,FALSE)*C21,2)))</f>
        <v/>
      </c>
      <c r="H21" s="142" t="str">
        <f>IF(B21=0,"",IF(C21&gt;9999,"",ROUND(VLOOKUP($B21,Operations!$A$2:$U$101,15,FALSE)*C21,2)))</f>
        <v/>
      </c>
      <c r="I21" s="142" t="str">
        <f>IF(B21=0,0,IF(C21&gt;9999,"",ROUND(VLOOKUP(VLOOKUP(B21,Operations!$A$2:$U$101,11,FALSE),PowerUnits[],16,FALSE)/VLOOKUP(B21,Operations!$A$2:$U$101,9,FALSE)*C21,2)))</f>
        <v/>
      </c>
      <c r="J21" s="142" t="str">
        <f>IF(B21=0,"",IF(C21&gt;9999,"",ROUND(VLOOKUP($B21,Operations!$A$2:$U$101,21,FALSE)*$C21,2)))</f>
        <v/>
      </c>
      <c r="K21" s="142" t="str">
        <f t="shared" si="0"/>
        <v/>
      </c>
      <c r="L21" s="143"/>
    </row>
    <row r="22" spans="1:12" x14ac:dyDescent="0.2">
      <c r="A22" s="193">
        <v>11</v>
      </c>
      <c r="B22" s="201" t="s">
        <v>491</v>
      </c>
      <c r="C22" s="203">
        <v>1</v>
      </c>
      <c r="D22" s="144"/>
      <c r="E22" s="142">
        <f>IF(B22=0,"",IF(C22&gt;9999,"",ROUND('General Variables'!$B$4*VLOOKUP(B22,Operations!$A$2:$U$101,10,FALSE)/VLOOKUP(B22,Operations!$A$2:$U$101,9,FALSE)*C22,2)))</f>
        <v>3.14</v>
      </c>
      <c r="F22" s="142">
        <f>IF(B22=0,0,IF(C22&gt;9999,"",ROUND(IF(VLOOKUP(B22,Operations!$A$2:$U$101,12,FALSE)=0,VLOOKUP(B22,Operations!$A$2:$U$101,13,FALSE)*'General Variables'!$B$8,VLOOKUP(B22,Operations!$A$2:$U$101,12,FALSE)*'General Variables'!$B$7)/VLOOKUP(B22,Operations!$A$2:$U$101,9,FALSE)*C22,2)))</f>
        <v>3.87</v>
      </c>
      <c r="G22" s="142">
        <f>IF(B22=0,0,IF(C22&gt;9999,"",ROUND(VLOOKUP(VLOOKUP(B22,Operations!$A$2:$U$101,11,FALSE),PowerUnits[],10,FALSE)/VLOOKUP(B22,Operations!$A$2:$U$101,9,FALSE)*C22,2)))</f>
        <v>7.31</v>
      </c>
      <c r="H22" s="142">
        <f>IF(B22=0,"",IF(C22&gt;9999,"",ROUND(VLOOKUP($B22,Operations!$A$2:$U$101,15,FALSE)*C22,2)))</f>
        <v>0.93</v>
      </c>
      <c r="I22" s="142">
        <f>IF(B22=0,0,IF(C22&gt;9999,"",ROUND(VLOOKUP(VLOOKUP(B22,Operations!$A$2:$U$101,11,FALSE),PowerUnits[],16,FALSE)/VLOOKUP(B22,Operations!$A$2:$U$101,9,FALSE)*C22,2)))</f>
        <v>5.99</v>
      </c>
      <c r="J22" s="142">
        <f>IF(B22=0,"",IF(C22&gt;9999,"",ROUND(VLOOKUP($B22,Operations!$A$2:$U$101,21,FALSE)*$C22,2)))</f>
        <v>2.81</v>
      </c>
      <c r="K22" s="142">
        <f t="shared" si="0"/>
        <v>24.05</v>
      </c>
      <c r="L22" s="143"/>
    </row>
    <row r="23" spans="1:12" x14ac:dyDescent="0.2">
      <c r="A23" s="193">
        <v>12</v>
      </c>
      <c r="B23" s="201" t="s">
        <v>296</v>
      </c>
      <c r="C23" s="203" t="s">
        <v>3</v>
      </c>
      <c r="D23" s="144"/>
      <c r="E23" s="142" t="str">
        <f>IF(B23=0,"",IF(C23&gt;9999,"",ROUND('General Variables'!$B$4*VLOOKUP(B23,Operations!$A$2:$U$101,10,FALSE)/VLOOKUP(B23,Operations!$A$2:$U$101,9,FALSE)*C23,2)))</f>
        <v/>
      </c>
      <c r="F23" s="142" t="str">
        <f>IF(B23=0,0,IF(C23&gt;9999,"",ROUND(IF(VLOOKUP(B23,Operations!$A$2:$U$101,12,FALSE)=0,VLOOKUP(B23,Operations!$A$2:$U$101,13,FALSE)*'General Variables'!$B$8,VLOOKUP(B23,Operations!$A$2:$U$101,12,FALSE)*'General Variables'!$B$7)/VLOOKUP(B23,Operations!$A$2:$U$101,9,FALSE)*C23,2)))</f>
        <v/>
      </c>
      <c r="G23" s="142" t="str">
        <f>IF(B23=0,0,IF(C23&gt;9999,"",ROUND(VLOOKUP(VLOOKUP(B23,Operations!$A$2:$U$101,11,FALSE),PowerUnits[],10,FALSE)/VLOOKUP(B23,Operations!$A$2:$U$101,9,FALSE)*C23,2)))</f>
        <v/>
      </c>
      <c r="H23" s="142" t="str">
        <f>IF(B23=0,"",IF(C23&gt;9999,"",ROUND(VLOOKUP($B23,Operations!$A$2:$U$101,15,FALSE)*C23,2)))</f>
        <v/>
      </c>
      <c r="I23" s="142" t="str">
        <f>IF(B23=0,0,IF(C23&gt;9999,"",ROUND(VLOOKUP(VLOOKUP(B23,Operations!$A$2:$U$101,11,FALSE),PowerUnits[],16,FALSE)/VLOOKUP(B23,Operations!$A$2:$U$101,9,FALSE)*C23,2)))</f>
        <v/>
      </c>
      <c r="J23" s="142" t="str">
        <f>IF(B23=0,"",IF(C23&gt;9999,"",ROUND(VLOOKUP($B23,Operations!$A$2:$U$101,21,FALSE)*$C23,2)))</f>
        <v/>
      </c>
      <c r="K23" s="142" t="str">
        <f t="shared" si="0"/>
        <v/>
      </c>
      <c r="L23" s="143"/>
    </row>
    <row r="24" spans="1:12" hidden="1" x14ac:dyDescent="0.2">
      <c r="A24" s="193">
        <v>13</v>
      </c>
      <c r="B24" s="201"/>
      <c r="C24" s="203"/>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3">
        <v>14</v>
      </c>
      <c r="B25" s="202"/>
      <c r="C25" s="204"/>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3">
        <v>15</v>
      </c>
      <c r="B26" s="202"/>
      <c r="C26" s="204"/>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3">
        <v>16</v>
      </c>
      <c r="B27" s="202"/>
      <c r="C27" s="204"/>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3">
        <v>17</v>
      </c>
      <c r="B28" s="202"/>
      <c r="C28" s="204"/>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3">
        <v>18</v>
      </c>
      <c r="B29" s="202"/>
      <c r="C29" s="204"/>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3">
        <v>19</v>
      </c>
      <c r="B30" s="202"/>
      <c r="C30" s="204"/>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3">
        <v>20</v>
      </c>
      <c r="B31" s="202"/>
      <c r="C31" s="204"/>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3"/>
      <c r="B32" s="146"/>
      <c r="C32" s="147"/>
      <c r="D32" s="147"/>
      <c r="E32" s="148"/>
      <c r="F32" s="148"/>
      <c r="G32" s="148"/>
      <c r="H32" s="148"/>
      <c r="I32" s="148"/>
      <c r="J32" s="148"/>
      <c r="K32" s="148"/>
      <c r="L32" s="149"/>
    </row>
    <row r="33" spans="1:12" ht="13.5" thickTop="1" x14ac:dyDescent="0.2">
      <c r="C33" s="139" t="s">
        <v>74</v>
      </c>
      <c r="D33" s="139"/>
      <c r="E33" s="150">
        <f t="shared" ref="E33:K33" si="1">SUM(E12:E31)</f>
        <v>15.22</v>
      </c>
      <c r="F33" s="150">
        <f t="shared" si="1"/>
        <v>12.879999999999999</v>
      </c>
      <c r="G33" s="150">
        <f t="shared" si="1"/>
        <v>10.649999999999999</v>
      </c>
      <c r="H33" s="150">
        <f t="shared" si="1"/>
        <v>7.92</v>
      </c>
      <c r="I33" s="150">
        <f t="shared" si="1"/>
        <v>25.46</v>
      </c>
      <c r="J33" s="150">
        <f t="shared" si="1"/>
        <v>15.21</v>
      </c>
      <c r="K33" s="150">
        <f t="shared" si="1"/>
        <v>87.34</v>
      </c>
      <c r="L33" s="143"/>
    </row>
    <row r="35" spans="1:12" ht="24" customHeight="1" thickBot="1" x14ac:dyDescent="0.25">
      <c r="B35" s="136"/>
      <c r="C35" s="136"/>
      <c r="D35" s="136"/>
      <c r="E35" s="136"/>
      <c r="F35" s="224" t="s">
        <v>85</v>
      </c>
      <c r="G35" s="224" t="s">
        <v>82</v>
      </c>
      <c r="H35" s="225" t="s">
        <v>86</v>
      </c>
      <c r="I35" s="225"/>
      <c r="J35" s="224" t="s">
        <v>62</v>
      </c>
      <c r="L35" s="225" t="s">
        <v>359</v>
      </c>
    </row>
    <row r="36" spans="1:12" s="151" customFormat="1" ht="18.75" customHeight="1" thickTop="1" thickBot="1" x14ac:dyDescent="0.25">
      <c r="B36" s="152" t="s">
        <v>81</v>
      </c>
      <c r="C36" s="194"/>
      <c r="D36" s="194"/>
      <c r="E36" s="194"/>
      <c r="F36" s="224"/>
      <c r="G36" s="224"/>
      <c r="H36" s="189" t="s">
        <v>87</v>
      </c>
      <c r="I36" s="190" t="s">
        <v>70</v>
      </c>
      <c r="J36" s="224"/>
      <c r="K36" s="194" t="s">
        <v>83</v>
      </c>
      <c r="L36" s="224"/>
    </row>
    <row r="37" spans="1:12" ht="13.5" thickTop="1" x14ac:dyDescent="0.2">
      <c r="A37" s="175"/>
      <c r="B37" s="201" t="s">
        <v>6</v>
      </c>
      <c r="C37" s="218" t="str">
        <f>IF(B37=0,"",VLOOKUP($B37,Materials!$B$2:$H$127,2,FALSE))</f>
        <v>Fertilizer</v>
      </c>
      <c r="D37" s="218"/>
      <c r="E37" s="218"/>
      <c r="F37" s="203">
        <v>6</v>
      </c>
      <c r="G37" s="205">
        <v>1</v>
      </c>
      <c r="H37" s="206">
        <v>8</v>
      </c>
      <c r="I37" s="153" t="str">
        <f>IF($B37=0,"",VLOOKUP($B37,Materials!$B$2:$H$127,5,FALSE))</f>
        <v>gallon</v>
      </c>
      <c r="J37" s="142">
        <f>IF($B37=0,"",VLOOKUP($B37,Materials!$B$2:$H$127,7,FALSE))</f>
        <v>2.8</v>
      </c>
      <c r="K37" s="150">
        <f t="shared" ref="K37:K55" si="2">IF(B37=0,0,ROUND(G37*H37*J37,2))</f>
        <v>22.4</v>
      </c>
      <c r="L37" s="143"/>
    </row>
    <row r="38" spans="1:12" x14ac:dyDescent="0.2">
      <c r="A38" s="175"/>
      <c r="B38" s="201" t="s">
        <v>574</v>
      </c>
      <c r="C38" s="218" t="str">
        <f>IF(B38=0,"",VLOOKUP($B38,Materials!$B$2:$H$127,2,FALSE))</f>
        <v>Seed</v>
      </c>
      <c r="D38" s="218"/>
      <c r="E38" s="218"/>
      <c r="F38" s="203">
        <v>6</v>
      </c>
      <c r="G38" s="205">
        <v>1</v>
      </c>
      <c r="H38" s="206">
        <v>55</v>
      </c>
      <c r="I38" s="153" t="str">
        <f>IF($B38=0,"",VLOOKUP($B38,Materials!$B$2:$H$127,5,FALSE))</f>
        <v>pound</v>
      </c>
      <c r="J38" s="142">
        <f>IF($B38=0,"",VLOOKUP($B38,Materials!$B$2:$H$127,7,FALSE))</f>
        <v>0.31</v>
      </c>
      <c r="K38" s="150">
        <f t="shared" si="2"/>
        <v>17.05</v>
      </c>
      <c r="L38" s="143"/>
    </row>
    <row r="39" spans="1:12" x14ac:dyDescent="0.2">
      <c r="A39" s="175"/>
      <c r="B39" s="201" t="s">
        <v>13</v>
      </c>
      <c r="C39" s="218" t="str">
        <f>IF(B39=0,"",VLOOKUP($B39,Materials!$B$2:$H$127,2,FALSE))</f>
        <v>Fertilizer</v>
      </c>
      <c r="D39" s="218"/>
      <c r="E39" s="218"/>
      <c r="F39" s="203">
        <v>7</v>
      </c>
      <c r="G39" s="205">
        <v>1</v>
      </c>
      <c r="H39" s="206">
        <v>65</v>
      </c>
      <c r="I39" s="153" t="str">
        <f>IF($B39=0,"",VLOOKUP($B39,Materials!$B$2:$H$127,5,FALSE))</f>
        <v>lbs N</v>
      </c>
      <c r="J39" s="142">
        <f>IF($B39=0,"",VLOOKUP($B39,Materials!$B$2:$H$127,7,FALSE))</f>
        <v>0.46666666666666662</v>
      </c>
      <c r="K39" s="150">
        <f>IF(B39=0,0,ROUND(G39*H39*J39,2))</f>
        <v>30.33</v>
      </c>
      <c r="L39" s="143"/>
    </row>
    <row r="40" spans="1:12" x14ac:dyDescent="0.2">
      <c r="A40" s="175"/>
      <c r="B40" s="201" t="s">
        <v>12</v>
      </c>
      <c r="C40" s="218" t="str">
        <f>IF(B40=0,"",VLOOKUP($B40,Materials!$B$2:$H$127,2,FALSE))</f>
        <v>Herbicide</v>
      </c>
      <c r="D40" s="218"/>
      <c r="E40" s="218"/>
      <c r="F40" s="203">
        <v>8</v>
      </c>
      <c r="G40" s="205">
        <v>1</v>
      </c>
      <c r="H40" s="206">
        <v>0.5</v>
      </c>
      <c r="I40" s="153" t="str">
        <f>IF($B40=0,"",VLOOKUP($B40,Materials!$B$2:$H$127,5,FALSE))</f>
        <v>pint</v>
      </c>
      <c r="J40" s="142">
        <f>IF($B40=0,"",VLOOKUP($B40,Materials!$B$2:$H$127,7,FALSE))</f>
        <v>2.5625</v>
      </c>
      <c r="K40" s="150">
        <f t="shared" si="2"/>
        <v>1.28</v>
      </c>
      <c r="L40" s="143"/>
    </row>
    <row r="41" spans="1:12" x14ac:dyDescent="0.2">
      <c r="A41" s="175"/>
      <c r="B41" s="201" t="s">
        <v>432</v>
      </c>
      <c r="C41" s="218" t="str">
        <f>IF(B41=0,"",VLOOKUP($B41,Materials!$B$2:$H$127,2,FALSE))</f>
        <v>Herbicide</v>
      </c>
      <c r="D41" s="218"/>
      <c r="E41" s="218"/>
      <c r="F41" s="203">
        <v>8</v>
      </c>
      <c r="G41" s="205">
        <v>1</v>
      </c>
      <c r="H41" s="206">
        <v>0.3</v>
      </c>
      <c r="I41" s="153" t="str">
        <f>IF($B41=0,"",VLOOKUP($B41,Materials!$B$2:$H$127,5,FALSE))</f>
        <v>ounce</v>
      </c>
      <c r="J41" s="142">
        <f>IF($B41=0,"",VLOOKUP($B41,Materials!$B$2:$H$127,7,FALSE))</f>
        <v>9</v>
      </c>
      <c r="K41" s="150">
        <f t="shared" si="2"/>
        <v>2.7</v>
      </c>
      <c r="L41" s="143"/>
    </row>
    <row r="42" spans="1:12" x14ac:dyDescent="0.2">
      <c r="A42" s="175"/>
      <c r="B42" s="201" t="s">
        <v>41</v>
      </c>
      <c r="C42" s="218" t="str">
        <f>IF(B42=0,"",VLOOKUP($B42,Materials!$B$2:$H$127,2,FALSE))</f>
        <v>Additive</v>
      </c>
      <c r="D42" s="218"/>
      <c r="E42" s="218"/>
      <c r="F42" s="203">
        <v>8</v>
      </c>
      <c r="G42" s="205">
        <v>1</v>
      </c>
      <c r="H42" s="206">
        <v>6</v>
      </c>
      <c r="I42" s="153" t="str">
        <f>IF($B42=0,"",VLOOKUP($B42,Materials!$B$2:$H$127,5,FALSE))</f>
        <v>ounce</v>
      </c>
      <c r="J42" s="142">
        <f>IF($B42=0,"",VLOOKUP($B42,Materials!$B$2:$H$127,7,FALSE))</f>
        <v>0.171875</v>
      </c>
      <c r="K42" s="150">
        <f t="shared" si="2"/>
        <v>1.03</v>
      </c>
      <c r="L42" s="143"/>
    </row>
    <row r="43" spans="1:12" x14ac:dyDescent="0.2">
      <c r="A43" s="162" t="s">
        <v>381</v>
      </c>
      <c r="B43" s="201" t="s">
        <v>17</v>
      </c>
      <c r="C43" s="218" t="str">
        <f>IF(B43=0,"",VLOOKUP($B43,Materials!$B$2:$H$127,2,FALSE))</f>
        <v>Custom</v>
      </c>
      <c r="D43" s="218"/>
      <c r="E43" s="218"/>
      <c r="F43" s="203">
        <v>9</v>
      </c>
      <c r="G43" s="205">
        <v>0.2</v>
      </c>
      <c r="H43" s="206">
        <v>1</v>
      </c>
      <c r="I43" s="153" t="str">
        <f>IF($B43=0,"",VLOOKUP($B43,Materials!$B$2:$H$127,5,FALSE))</f>
        <v>acre</v>
      </c>
      <c r="J43" s="142">
        <f>IF($B43=0,"",VLOOKUP($B43,Materials!$B$2:$H$127,7,FALSE))</f>
        <v>9.5</v>
      </c>
      <c r="K43" s="150">
        <f t="shared" si="2"/>
        <v>1.9</v>
      </c>
      <c r="L43" s="143"/>
    </row>
    <row r="44" spans="1:12" x14ac:dyDescent="0.2">
      <c r="A44" s="162" t="s">
        <v>381</v>
      </c>
      <c r="B44" s="201" t="s">
        <v>54</v>
      </c>
      <c r="C44" s="218" t="str">
        <f>IF(B44=0,"",VLOOKUP($B44,Materials!$B$2:$H$127,2,FALSE))</f>
        <v>Fungicide</v>
      </c>
      <c r="D44" s="218"/>
      <c r="E44" s="218"/>
      <c r="F44" s="203">
        <v>9</v>
      </c>
      <c r="G44" s="205">
        <v>0.2</v>
      </c>
      <c r="H44" s="206">
        <v>4</v>
      </c>
      <c r="I44" s="153" t="str">
        <f>IF($B44=0,"",VLOOKUP($B44,Materials!$B$2:$H$127,5,FALSE))</f>
        <v>ounce</v>
      </c>
      <c r="J44" s="142">
        <f>IF($B44=0,"",VLOOKUP($B44,Materials!$B$2:$H$127,7,FALSE))</f>
        <v>0.8203125</v>
      </c>
      <c r="K44" s="150">
        <f t="shared" si="2"/>
        <v>0.66</v>
      </c>
      <c r="L44" s="143"/>
    </row>
    <row r="45" spans="1:12" x14ac:dyDescent="0.2">
      <c r="A45" s="162" t="s">
        <v>382</v>
      </c>
      <c r="B45" s="201" t="s">
        <v>17</v>
      </c>
      <c r="C45" s="218" t="str">
        <f>IF(B45=0,"",VLOOKUP($B45,Materials!$B$2:$H$127,2,FALSE))</f>
        <v>Custom</v>
      </c>
      <c r="D45" s="218"/>
      <c r="E45" s="218"/>
      <c r="F45" s="203">
        <v>10</v>
      </c>
      <c r="G45" s="205">
        <v>0.15</v>
      </c>
      <c r="H45" s="206">
        <v>1</v>
      </c>
      <c r="I45" s="153" t="str">
        <f>IF($B45=0,"",VLOOKUP($B45,Materials!$B$2:$H$127,5,FALSE))</f>
        <v>acre</v>
      </c>
      <c r="J45" s="142">
        <f>IF($B45=0,"",VLOOKUP($B45,Materials!$B$2:$H$127,7,FALSE))</f>
        <v>9.5</v>
      </c>
      <c r="K45" s="150">
        <f t="shared" si="2"/>
        <v>1.43</v>
      </c>
      <c r="L45" s="143"/>
    </row>
    <row r="46" spans="1:12" x14ac:dyDescent="0.2">
      <c r="A46" s="162" t="s">
        <v>382</v>
      </c>
      <c r="B46" s="201" t="s">
        <v>533</v>
      </c>
      <c r="C46" s="218" t="str">
        <f>IF(B46=0,"",VLOOKUP($B46,Materials!$B$2:$H$127,2,FALSE))</f>
        <v>Insecticide</v>
      </c>
      <c r="D46" s="218"/>
      <c r="E46" s="218"/>
      <c r="F46" s="203">
        <v>10</v>
      </c>
      <c r="G46" s="205">
        <v>0.1</v>
      </c>
      <c r="H46" s="206">
        <v>1</v>
      </c>
      <c r="I46" s="153" t="str">
        <f>IF($B46=0,"",VLOOKUP($B46,Materials!$B$2:$H$127,5,FALSE))</f>
        <v>pint</v>
      </c>
      <c r="J46" s="142">
        <f>IF($B46=0,"",VLOOKUP($B46,Materials!$B$2:$H$127,7,FALSE))</f>
        <v>6.875</v>
      </c>
      <c r="K46" s="150">
        <f t="shared" si="2"/>
        <v>0.69</v>
      </c>
      <c r="L46" s="143"/>
    </row>
    <row r="47" spans="1:12" x14ac:dyDescent="0.2">
      <c r="A47" s="162" t="s">
        <v>382</v>
      </c>
      <c r="B47" s="201" t="s">
        <v>384</v>
      </c>
      <c r="C47" s="218" t="str">
        <f>IF(B47=0,"",VLOOKUP($B47,Materials!$B$2:$H$127,2,FALSE))</f>
        <v>Insecticide</v>
      </c>
      <c r="D47" s="218"/>
      <c r="E47" s="218"/>
      <c r="F47" s="203">
        <v>10</v>
      </c>
      <c r="G47" s="205">
        <v>0.05</v>
      </c>
      <c r="H47" s="206">
        <v>1.92</v>
      </c>
      <c r="I47" s="153" t="str">
        <f>IF($B47=0,"",VLOOKUP($B47,Materials!$B$2:$H$127,5,FALSE))</f>
        <v>ounce</v>
      </c>
      <c r="J47" s="142">
        <f>IF($B47=0,"",VLOOKUP($B47,Materials!$B$2:$H$127,7,FALSE))</f>
        <v>2.96875</v>
      </c>
      <c r="K47" s="150">
        <f t="shared" si="2"/>
        <v>0.28999999999999998</v>
      </c>
      <c r="L47" s="143"/>
    </row>
    <row r="48" spans="1:12" x14ac:dyDescent="0.2">
      <c r="A48" s="180"/>
      <c r="B48" s="201" t="s">
        <v>586</v>
      </c>
      <c r="C48" s="218" t="str">
        <f>IF(B48=0,"",VLOOKUP($B48,Materials!$B$2:$H$127,2,FALSE))</f>
        <v>Custom</v>
      </c>
      <c r="D48" s="218"/>
      <c r="E48" s="218"/>
      <c r="F48" s="203">
        <v>12</v>
      </c>
      <c r="G48" s="205">
        <v>1</v>
      </c>
      <c r="H48" s="206">
        <f>$A$4</f>
        <v>50</v>
      </c>
      <c r="I48" s="153" t="str">
        <f>IF($B48=0,"",VLOOKUP($B48,Materials!$B$2:$H$127,5,FALSE))</f>
        <v>bushel</v>
      </c>
      <c r="J48" s="142">
        <f>IF($B48=0,"",VLOOKUP($B48,Materials!$B$2:$H$127,7,FALSE))</f>
        <v>0.11</v>
      </c>
      <c r="K48" s="150">
        <f t="shared" si="2"/>
        <v>5.5</v>
      </c>
      <c r="L48" s="143"/>
    </row>
    <row r="49" spans="1:12" x14ac:dyDescent="0.2">
      <c r="A49" s="180"/>
      <c r="B49" s="201" t="s">
        <v>538</v>
      </c>
      <c r="C49" s="218" t="str">
        <f>IF(B49=0,"",VLOOKUP($B49,Materials!$B$2:$H$127,2,FALSE))</f>
        <v>Scouting</v>
      </c>
      <c r="D49" s="218"/>
      <c r="E49" s="218"/>
      <c r="F49" s="203"/>
      <c r="G49" s="205">
        <v>1</v>
      </c>
      <c r="H49" s="206">
        <v>1</v>
      </c>
      <c r="I49" s="153" t="str">
        <f>IF($B49=0,"",VLOOKUP($B49,Materials!$B$2:$H$127,5,FALSE))</f>
        <v>acre</v>
      </c>
      <c r="J49" s="142">
        <f>IF($B49=0,"",VLOOKUP($B49,Materials!$B$2:$H$127,7,FALSE))</f>
        <v>7</v>
      </c>
      <c r="K49" s="150">
        <f t="shared" si="2"/>
        <v>7</v>
      </c>
      <c r="L49" s="143"/>
    </row>
    <row r="50" spans="1:12" hidden="1" x14ac:dyDescent="0.2">
      <c r="A50" s="175"/>
      <c r="B50" s="201"/>
      <c r="C50" s="218" t="str">
        <f>IF(B50=0,"",VLOOKUP($B50,Materials!$B$2:$H$127,2,FALSE))</f>
        <v/>
      </c>
      <c r="D50" s="218"/>
      <c r="E50" s="218"/>
      <c r="F50" s="203"/>
      <c r="G50" s="205"/>
      <c r="H50" s="206"/>
      <c r="I50" s="153" t="str">
        <f>IF($B50=0,"",VLOOKUP($B50,Materials!$B$2:$H$127,5,FALSE))</f>
        <v/>
      </c>
      <c r="J50" s="142" t="str">
        <f>IF($B50=0,"",VLOOKUP($B50,Materials!$B$2:$H$127,7,FALSE))</f>
        <v/>
      </c>
      <c r="K50" s="150">
        <f t="shared" si="2"/>
        <v>0</v>
      </c>
      <c r="L50" s="143"/>
    </row>
    <row r="51" spans="1:12" hidden="1" x14ac:dyDescent="0.2">
      <c r="B51" s="202"/>
      <c r="C51" s="218" t="str">
        <f>IF(B51=0,"",VLOOKUP($B51,Materials!$B$2:$H$127,2,FALSE))</f>
        <v/>
      </c>
      <c r="D51" s="218"/>
      <c r="E51" s="218"/>
      <c r="F51" s="204"/>
      <c r="G51" s="205"/>
      <c r="H51" s="208"/>
      <c r="I51" s="153" t="str">
        <f>IF($B51=0,"",VLOOKUP($B51,Materials!$B$2:$H$127,5,FALSE))</f>
        <v/>
      </c>
      <c r="J51" s="142" t="str">
        <f>IF($B51=0,"",VLOOKUP($B51,Materials!$B$2:$H$127,7,FALSE))</f>
        <v/>
      </c>
      <c r="K51" s="150">
        <f t="shared" si="2"/>
        <v>0</v>
      </c>
      <c r="L51" s="143"/>
    </row>
    <row r="52" spans="1:12" hidden="1" x14ac:dyDescent="0.2">
      <c r="B52" s="202"/>
      <c r="C52" s="218" t="str">
        <f>IF(B52=0,"",VLOOKUP($B52,Materials!$B$2:$H$127,2,FALSE))</f>
        <v/>
      </c>
      <c r="D52" s="218"/>
      <c r="E52" s="218"/>
      <c r="F52" s="204"/>
      <c r="G52" s="209"/>
      <c r="H52" s="208"/>
      <c r="I52" s="153" t="str">
        <f>IF($B52=0,"",VLOOKUP($B52,Materials!$B$2:$H$127,5,FALSE))</f>
        <v/>
      </c>
      <c r="J52" s="142" t="str">
        <f>IF($B52=0,"",VLOOKUP($B52,Materials!$B$2:$H$127,7,FALSE))</f>
        <v/>
      </c>
      <c r="K52" s="150">
        <f t="shared" si="2"/>
        <v>0</v>
      </c>
      <c r="L52" s="143"/>
    </row>
    <row r="53" spans="1:12" hidden="1" x14ac:dyDescent="0.2">
      <c r="B53" s="202"/>
      <c r="C53" s="218" t="str">
        <f>IF(B53=0,"",VLOOKUP($B53,Materials!$B$2:$H$127,2,FALSE))</f>
        <v/>
      </c>
      <c r="D53" s="218"/>
      <c r="E53" s="218"/>
      <c r="F53" s="204"/>
      <c r="G53" s="209"/>
      <c r="H53" s="208"/>
      <c r="I53" s="153" t="str">
        <f>IF($B53=0,"",VLOOKUP($B53,Materials!$B$2:$H$127,5,FALSE))</f>
        <v/>
      </c>
      <c r="J53" s="142" t="str">
        <f>IF($B53=0,"",VLOOKUP($B53,Materials!$B$2:$H$127,7,FALSE))</f>
        <v/>
      </c>
      <c r="K53" s="150">
        <f t="shared" si="2"/>
        <v>0</v>
      </c>
      <c r="L53" s="143"/>
    </row>
    <row r="54" spans="1:12" hidden="1" x14ac:dyDescent="0.2">
      <c r="B54" s="202"/>
      <c r="C54" s="218" t="str">
        <f>IF(B54=0,"",VLOOKUP($B54,Materials!$B$2:$H$127,2,FALSE))</f>
        <v/>
      </c>
      <c r="D54" s="218"/>
      <c r="E54" s="218"/>
      <c r="F54" s="204"/>
      <c r="G54" s="209"/>
      <c r="H54" s="208"/>
      <c r="I54" s="153" t="str">
        <f>IF($B54=0,"",VLOOKUP($B54,Materials!$B$2:$H$127,5,FALSE))</f>
        <v/>
      </c>
      <c r="J54" s="142" t="str">
        <f>IF($B54=0,"",VLOOKUP($B54,Materials!$B$2:$H$127,7,FALSE))</f>
        <v/>
      </c>
      <c r="K54" s="150">
        <f t="shared" si="2"/>
        <v>0</v>
      </c>
      <c r="L54" s="143"/>
    </row>
    <row r="55" spans="1:12" hidden="1" x14ac:dyDescent="0.2">
      <c r="B55" s="202"/>
      <c r="C55" s="218" t="str">
        <f>IF(B55=0,"",VLOOKUP($B55,Materials!$B$2:$H$127,2,FALSE))</f>
        <v/>
      </c>
      <c r="D55" s="218"/>
      <c r="E55" s="218"/>
      <c r="F55" s="204"/>
      <c r="G55" s="209"/>
      <c r="H55" s="208"/>
      <c r="I55" s="153" t="str">
        <f>IF($B55=0,"",VLOOKUP($B55,Materials!$B$2:$H$127,5,FALSE))</f>
        <v/>
      </c>
      <c r="J55" s="142" t="str">
        <f>IF($B55=0,"",VLOOKUP($B55,Materials!$B$2:$H$127,7,FALSE))</f>
        <v/>
      </c>
      <c r="K55" s="150">
        <f t="shared" si="2"/>
        <v>0</v>
      </c>
      <c r="L55" s="145"/>
    </row>
    <row r="56" spans="1:12" hidden="1" x14ac:dyDescent="0.2">
      <c r="B56" s="202"/>
      <c r="C56" s="218" t="str">
        <f>IF(B56=0,"",VLOOKUP($B56,Materials!$B$2:$H$127,2,FALSE))</f>
        <v/>
      </c>
      <c r="D56" s="218"/>
      <c r="E56" s="218"/>
      <c r="F56" s="204"/>
      <c r="G56" s="209"/>
      <c r="H56" s="208"/>
      <c r="I56" s="153" t="str">
        <f>IF($B56=0,"",VLOOKUP($B56,Materials!$B$2:$H$127,5,FALSE))</f>
        <v/>
      </c>
      <c r="J56" s="142" t="str">
        <f>IF($B56=0,"",VLOOKUP($B56,Materials!$B$2:$H$127,7,FALSE))</f>
        <v/>
      </c>
      <c r="K56" s="150">
        <f>IF(B56=0,0,ROUND(G56*H56*J56,2))</f>
        <v>0</v>
      </c>
      <c r="L56" s="145"/>
    </row>
    <row r="57" spans="1:12" hidden="1" x14ac:dyDescent="0.2">
      <c r="B57" s="202"/>
      <c r="C57" s="218" t="str">
        <f>IF(B57=0,"",VLOOKUP($B57,Materials!$B$2:$H$127,2,FALSE))</f>
        <v/>
      </c>
      <c r="D57" s="218"/>
      <c r="E57" s="218"/>
      <c r="F57" s="204"/>
      <c r="G57" s="209"/>
      <c r="H57" s="208"/>
      <c r="I57" s="153" t="str">
        <f>IF($B57=0,"",VLOOKUP($B57,Materials!$B$2:$H$127,5,FALSE))</f>
        <v/>
      </c>
      <c r="J57" s="142" t="str">
        <f>IF($B57=0,"",VLOOKUP($B57,Materials!$B$2:$H$127,7,FALSE))</f>
        <v/>
      </c>
      <c r="K57" s="150">
        <f>IF(B57=0,0,ROUND(G57*H57*J57,2))</f>
        <v>0</v>
      </c>
      <c r="L57" s="145"/>
    </row>
    <row r="58" spans="1:12" hidden="1" x14ac:dyDescent="0.2">
      <c r="B58" s="202"/>
      <c r="C58" s="218" t="str">
        <f>IF(B58=0,"",VLOOKUP($B58,Materials!$B$2:$H$127,2,FALSE))</f>
        <v/>
      </c>
      <c r="D58" s="218"/>
      <c r="E58" s="218"/>
      <c r="F58" s="204"/>
      <c r="G58" s="209"/>
      <c r="H58" s="208"/>
      <c r="I58" s="153" t="str">
        <f>IF($B58=0,"",VLOOKUP($B58,Materials!$B$2:$H$127,5,FALSE))</f>
        <v/>
      </c>
      <c r="J58" s="142" t="str">
        <f>IF($B58=0,"",VLOOKUP($B58,Materials!$B$2:$H$127,7,FALSE))</f>
        <v/>
      </c>
      <c r="K58" s="150">
        <f>IF(B58=0,0,ROUND(G58*H58*J58,2))</f>
        <v>0</v>
      </c>
      <c r="L58" s="145"/>
    </row>
    <row r="59" spans="1:12" hidden="1" x14ac:dyDescent="0.2">
      <c r="B59" s="202"/>
      <c r="C59" s="218" t="str">
        <f>IF(B59=0,"",VLOOKUP($B59,Materials!$B$2:$H$127,2,FALSE))</f>
        <v/>
      </c>
      <c r="D59" s="218"/>
      <c r="E59" s="218"/>
      <c r="F59" s="204"/>
      <c r="G59" s="209"/>
      <c r="H59" s="208"/>
      <c r="I59" s="153" t="str">
        <f>IF($B59=0,"",VLOOKUP($B59,Materials!$B$2:$H$127,5,FALSE))</f>
        <v/>
      </c>
      <c r="J59" s="142" t="str">
        <f>IF($B59=0,"",VLOOKUP($B59,Materials!$B$2:$H$127,7,FALSE))</f>
        <v/>
      </c>
      <c r="K59" s="150">
        <f>IF(B59=0,0,ROUND(G59*H59*J59,2))</f>
        <v>0</v>
      </c>
      <c r="L59" s="145"/>
    </row>
    <row r="60" spans="1:12" hidden="1" x14ac:dyDescent="0.2">
      <c r="B60" s="202"/>
      <c r="C60" s="218" t="str">
        <f>IF(B60=0,"",VLOOKUP($B60,Materials!$B$2:$H$127,2,FALSE))</f>
        <v/>
      </c>
      <c r="D60" s="218"/>
      <c r="E60" s="218"/>
      <c r="F60" s="204"/>
      <c r="G60" s="209"/>
      <c r="H60" s="208"/>
      <c r="I60" s="153" t="str">
        <f>IF($B60=0,"",VLOOKUP($B60,Materials!$B$2:$H$127,5,FALSE))</f>
        <v/>
      </c>
      <c r="J60" s="142" t="str">
        <f>IF($B60=0,"",VLOOKUP($B60,Materials!$B$2:$H$127,7,FALSE))</f>
        <v/>
      </c>
      <c r="K60" s="150">
        <f>IF(B60=0,0,ROUND(G60*H60*J60,2))</f>
        <v>0</v>
      </c>
      <c r="L60" s="145"/>
    </row>
    <row r="61" spans="1:12" x14ac:dyDescent="0.2">
      <c r="B61" s="202" t="s">
        <v>451</v>
      </c>
      <c r="C61" s="218" t="str">
        <f>IF(B61=0,0,"Crop Insurance")</f>
        <v>Crop Insurance</v>
      </c>
      <c r="D61" s="218"/>
      <c r="E61" s="218"/>
      <c r="F61" s="144"/>
      <c r="G61" s="199"/>
      <c r="H61" s="200"/>
      <c r="I61" s="192"/>
      <c r="J61" s="142">
        <v>6.71</v>
      </c>
      <c r="K61" s="142">
        <f>IF(B61=0,0,J61)</f>
        <v>6.71</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84</v>
      </c>
      <c r="D63" s="139"/>
      <c r="J63" s="160"/>
      <c r="K63" s="161">
        <f>SUM(K37:K61)</f>
        <v>98.970000000000013</v>
      </c>
      <c r="L63" s="143"/>
    </row>
    <row r="64" spans="1:12" ht="24" customHeight="1" x14ac:dyDescent="0.2">
      <c r="B64" s="233" t="s">
        <v>598</v>
      </c>
      <c r="C64" s="233"/>
      <c r="K64" s="161"/>
    </row>
    <row r="65" spans="2:12" x14ac:dyDescent="0.2">
      <c r="B65" s="140" t="s">
        <v>562</v>
      </c>
      <c r="K65" s="161">
        <f>K33+K63</f>
        <v>186.31</v>
      </c>
      <c r="L65" s="143"/>
    </row>
    <row r="66" spans="2:12" ht="13.5" thickBot="1" x14ac:dyDescent="0.25">
      <c r="D66" s="162" t="s">
        <v>580</v>
      </c>
      <c r="E66" s="163">
        <f>ROUND(SUM($E$33:$H$33)+$K$63,2)</f>
        <v>145.63999999999999</v>
      </c>
      <c r="F66" s="220" t="s">
        <v>360</v>
      </c>
      <c r="G66" s="220"/>
      <c r="H66" s="164">
        <f>'General Variables'!$B$11</f>
        <v>5.5E-2</v>
      </c>
      <c r="I66" s="165" t="str">
        <f>CONCATENATE("for ",TEXT('General Variables'!$B$12,"0.0")," mo.")</f>
        <v>for 6.0 mo.</v>
      </c>
      <c r="K66" s="166">
        <f>E66*H66*'General Variables'!$B$12/12</f>
        <v>4.0050999999999997</v>
      </c>
      <c r="L66" s="167"/>
    </row>
    <row r="67" spans="2:12" ht="13.5" thickTop="1" x14ac:dyDescent="0.2">
      <c r="B67" s="140" t="s">
        <v>364</v>
      </c>
      <c r="K67" s="161">
        <f>SUM(K65:K66)</f>
        <v>190.3151</v>
      </c>
      <c r="L67" s="143"/>
    </row>
    <row r="68" spans="2:12" x14ac:dyDescent="0.2">
      <c r="K68" s="161"/>
    </row>
    <row r="69" spans="2:12" x14ac:dyDescent="0.2">
      <c r="B69" s="168" t="s">
        <v>596</v>
      </c>
      <c r="C69" s="169"/>
      <c r="D69" s="169"/>
      <c r="E69" s="169"/>
      <c r="F69" s="169"/>
      <c r="G69" s="169"/>
      <c r="H69" s="169"/>
      <c r="I69" s="169"/>
      <c r="J69" s="169"/>
      <c r="K69" s="170">
        <f>'General Variables'!B14</f>
        <v>20</v>
      </c>
      <c r="L69" s="143"/>
    </row>
    <row r="70" spans="2:12" x14ac:dyDescent="0.2">
      <c r="B70" s="129" t="s">
        <v>367</v>
      </c>
      <c r="C70" s="221" t="s">
        <v>427</v>
      </c>
      <c r="D70" s="222"/>
      <c r="E70" s="223"/>
      <c r="F70" s="171">
        <f>IF(C70=0,0,VLOOKUP(C70,RETable,2,FALSE)*2)</f>
        <v>1460</v>
      </c>
      <c r="G70" s="220" t="s">
        <v>368</v>
      </c>
      <c r="H70" s="220"/>
      <c r="I70" s="164">
        <f>'General Variables'!$B$10</f>
        <v>0.04</v>
      </c>
      <c r="K70" s="172">
        <f>ROUND(F70*I70,2)*2</f>
        <v>116.8</v>
      </c>
      <c r="L70" s="143"/>
    </row>
    <row r="71" spans="2:12" ht="13.5" thickBot="1" x14ac:dyDescent="0.25">
      <c r="B71" s="129" t="s">
        <v>376</v>
      </c>
      <c r="F71" s="173">
        <f>IF(C70=0,0,VLOOKUP(C70,RETable,2,FALSE)*2)</f>
        <v>1460</v>
      </c>
      <c r="G71" s="219" t="s">
        <v>368</v>
      </c>
      <c r="H71" s="219"/>
      <c r="I71" s="174">
        <f>'General Variables'!$B$13</f>
        <v>0.01</v>
      </c>
      <c r="J71" s="175"/>
      <c r="K71" s="176">
        <f>ROUND(F71*I71,2)*2</f>
        <v>29.2</v>
      </c>
      <c r="L71" s="167"/>
    </row>
    <row r="72" spans="2:12" ht="13.5" thickTop="1" x14ac:dyDescent="0.2">
      <c r="B72" s="140" t="s">
        <v>383</v>
      </c>
      <c r="K72" s="161">
        <f>SUM(K67:K71)</f>
        <v>356.31509999999997</v>
      </c>
      <c r="L72" s="143"/>
    </row>
    <row r="73" spans="2:12" x14ac:dyDescent="0.2">
      <c r="K73" s="162"/>
    </row>
    <row r="74" spans="2:12" x14ac:dyDescent="0.2">
      <c r="B74" s="140" t="str">
        <f>"Cost per "&amp;$B$4</f>
        <v>Cost per bu</v>
      </c>
      <c r="K74" s="177">
        <f>IF(A4="Yield",0,K72/$A$4)</f>
        <v>7.126301999999999</v>
      </c>
      <c r="L74" s="143"/>
    </row>
    <row r="75" spans="2:12" x14ac:dyDescent="0.2">
      <c r="B75" s="178" t="str">
        <f>"Cash Cost per "&amp;$B$4</f>
        <v>Cash Cost per bu</v>
      </c>
      <c r="C75" s="175"/>
      <c r="D75" s="175"/>
      <c r="E75" s="175"/>
      <c r="F75" s="175"/>
      <c r="G75" s="175"/>
      <c r="H75" s="175"/>
      <c r="I75" s="175"/>
      <c r="J75" s="175"/>
      <c r="K75" s="179">
        <f>IF($A$4="Yield",0,(E66+K66+K71)/$A$4)</f>
        <v>3.5769019999999996</v>
      </c>
      <c r="L75" s="186"/>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506</v>
      </c>
    </row>
    <row r="112" spans="2:11" x14ac:dyDescent="0.2">
      <c r="B112" s="175"/>
      <c r="C112" s="175"/>
      <c r="D112" s="175"/>
      <c r="H112" s="129" t="str">
        <f>'General Variables'!A20</f>
        <v>Corn Irrigated</v>
      </c>
      <c r="K112" s="129" t="s">
        <v>507</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5">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9:E39"/>
    <mergeCell ref="C37:E37"/>
    <mergeCell ref="C38:E38"/>
    <mergeCell ref="C40:E40"/>
    <mergeCell ref="C41:E41"/>
    <mergeCell ref="K10:K11"/>
    <mergeCell ref="L10:L11"/>
    <mergeCell ref="F35:F36"/>
    <mergeCell ref="G35:G36"/>
    <mergeCell ref="H35:I35"/>
    <mergeCell ref="J35:J36"/>
    <mergeCell ref="L35:L36"/>
    <mergeCell ref="I10:J10"/>
    <mergeCell ref="B64:C64"/>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Title</vt:lpstr>
      <vt:lpstr>General Variables</vt:lpstr>
      <vt:lpstr>Power Units</vt:lpstr>
      <vt:lpstr>Materials</vt:lpstr>
      <vt:lpstr>Operations</vt:lpstr>
      <vt:lpstr>Start</vt:lpstr>
      <vt:lpstr>65-Wheat</vt:lpstr>
      <vt:lpstr>66-Wheat</vt:lpstr>
      <vt:lpstr>67-Wheat</vt:lpstr>
      <vt:lpstr>68-Wheat</vt:lpstr>
      <vt:lpstr>69-Wheat</vt:lpstr>
      <vt:lpstr>70-Wheat</vt:lpstr>
      <vt:lpstr>71-Wheat</vt:lpstr>
      <vt:lpstr>Stop</vt:lpstr>
      <vt:lpstr>CropInsurance</vt:lpstr>
      <vt:lpstr>ImpDepLookup</vt:lpstr>
      <vt:lpstr>MaterialList</vt:lpstr>
      <vt:lpstr>Materials</vt:lpstr>
      <vt:lpstr>OperationList</vt:lpstr>
      <vt:lpstr>pd</vt:lpstr>
      <vt:lpstr>'65-Wheat'!Print_Area</vt:lpstr>
      <vt:lpstr>'66-Wheat'!Print_Area</vt:lpstr>
      <vt:lpstr>'67-Wheat'!Print_Area</vt:lpstr>
      <vt:lpstr>'68-Wheat'!Print_Area</vt:lpstr>
      <vt:lpstr>'69-Wheat'!Print_Area</vt:lpstr>
      <vt:lpstr>'70-Wheat'!Print_Area</vt:lpstr>
      <vt:lpstr>'71-Wheat'!Print_Area</vt:lpstr>
      <vt:lpstr>'General Variables'!Print_Area</vt:lpstr>
      <vt:lpstr>Materials!Print_Area</vt:lpstr>
      <vt:lpstr>Operations!Print_Area</vt:lpstr>
      <vt:lpstr>Title!Print_Area</vt:lpstr>
      <vt:lpstr>'71-Wheat'!PwrDepreciation</vt:lpstr>
      <vt:lpstr>PwrDepreciation</vt:lpstr>
      <vt:lpstr>PwrUnit</vt:lpstr>
      <vt:lpstr>RealEstateList</vt:lpstr>
      <vt:lpstr>'71-Wheat'!RETable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2015-12-17T14:36:13Z</cp:lastPrinted>
  <dcterms:created xsi:type="dcterms:W3CDTF">2009-07-27T21:13:45Z</dcterms:created>
  <dcterms:modified xsi:type="dcterms:W3CDTF">2016-01-13T17:22:41Z</dcterms:modified>
</cp:coreProperties>
</file>