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3-Soybeans" sheetId="98"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'53-Soybeans'!$A$2:$L$73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98" l="1"/>
  <c r="C110" i="98"/>
  <c r="C111" i="98"/>
  <c r="C112" i="98"/>
  <c r="C113" i="98"/>
  <c r="C114" i="98"/>
  <c r="C115" i="98"/>
  <c r="C116" i="98"/>
  <c r="C117" i="98"/>
  <c r="C118" i="98"/>
  <c r="C119" i="98"/>
  <c r="C120" i="98"/>
  <c r="C121" i="98"/>
  <c r="C122" i="98"/>
  <c r="C123" i="98"/>
  <c r="C124" i="98"/>
  <c r="C125" i="98"/>
  <c r="C126" i="98"/>
  <c r="C127" i="98"/>
  <c r="C128" i="98"/>
  <c r="C129" i="98"/>
  <c r="C130" i="98"/>
  <c r="C131" i="98"/>
  <c r="C132" i="98"/>
  <c r="C133" i="98"/>
  <c r="C134" i="98"/>
  <c r="C135" i="98"/>
  <c r="C136" i="98"/>
  <c r="C137" i="98"/>
  <c r="C138" i="98"/>
  <c r="C139" i="98"/>
  <c r="C140" i="98"/>
  <c r="C141" i="98"/>
  <c r="C142" i="98"/>
  <c r="C143" i="98"/>
  <c r="C144" i="98"/>
  <c r="C145" i="98"/>
  <c r="C146" i="98"/>
  <c r="C147" i="98"/>
  <c r="C148" i="98"/>
  <c r="C149" i="98"/>
  <c r="C150" i="98"/>
  <c r="C151" i="98"/>
  <c r="C152" i="98"/>
  <c r="C153" i="98"/>
  <c r="C154" i="98"/>
  <c r="C155" i="98"/>
  <c r="C156" i="98"/>
  <c r="C157" i="98"/>
  <c r="C158" i="98"/>
  <c r="C159" i="98"/>
  <c r="C160" i="98"/>
  <c r="C161" i="98"/>
  <c r="C162" i="98"/>
  <c r="C163" i="98"/>
  <c r="C164" i="98"/>
  <c r="C165" i="98"/>
  <c r="C166" i="98"/>
  <c r="C167" i="98"/>
  <c r="C168" i="98"/>
  <c r="C169" i="98"/>
  <c r="C170" i="98"/>
  <c r="C171" i="98"/>
  <c r="C172" i="98"/>
  <c r="C173" i="98"/>
  <c r="C174" i="98"/>
  <c r="C175" i="98"/>
  <c r="C176" i="98"/>
  <c r="C177" i="98"/>
  <c r="C178" i="98"/>
  <c r="C179" i="98"/>
  <c r="C180" i="98"/>
  <c r="C181" i="98"/>
  <c r="C182" i="98"/>
  <c r="C183" i="98"/>
  <c r="C184" i="98"/>
  <c r="C185" i="98"/>
  <c r="C186" i="98"/>
  <c r="C187" i="98"/>
  <c r="C188" i="98"/>
  <c r="C189" i="98"/>
  <c r="C190" i="98"/>
  <c r="C191" i="98"/>
  <c r="C192" i="98"/>
  <c r="C193" i="98"/>
  <c r="C194" i="98"/>
  <c r="C195" i="98"/>
  <c r="C196" i="98"/>
  <c r="C197" i="98"/>
  <c r="C198" i="98"/>
  <c r="C199" i="98"/>
  <c r="C200" i="98"/>
  <c r="C201" i="98"/>
  <c r="C202" i="98"/>
  <c r="C203" i="98"/>
  <c r="C204" i="98"/>
  <c r="C205" i="98"/>
  <c r="C206" i="98"/>
  <c r="C207" i="98"/>
  <c r="C208" i="98"/>
  <c r="C209" i="98"/>
  <c r="C210" i="98"/>
  <c r="C211" i="98"/>
  <c r="C212" i="98"/>
  <c r="C213" i="98"/>
  <c r="C214" i="98"/>
  <c r="C215" i="98"/>
  <c r="C216" i="98"/>
  <c r="C217" i="98"/>
  <c r="C218" i="98"/>
  <c r="C219" i="98"/>
  <c r="C220" i="98"/>
  <c r="C221" i="98"/>
  <c r="C222" i="98"/>
  <c r="C223" i="98"/>
  <c r="C224" i="98"/>
  <c r="C225" i="98"/>
  <c r="C226" i="98"/>
  <c r="C227" i="98"/>
  <c r="C228" i="98"/>
  <c r="C229" i="98"/>
  <c r="C230" i="98"/>
  <c r="C231" i="98"/>
  <c r="B180" i="98"/>
  <c r="B181" i="98"/>
  <c r="B182" i="98"/>
  <c r="B183" i="98"/>
  <c r="B184" i="98"/>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98" l="1"/>
  <c r="F116" i="98"/>
  <c r="F117" i="98"/>
  <c r="F118" i="98"/>
  <c r="F119" i="98"/>
  <c r="F120" i="98"/>
  <c r="F121" i="98"/>
  <c r="J40" i="1"/>
  <c r="H40" i="1"/>
  <c r="H110" i="2" l="1"/>
  <c r="H120" i="2"/>
  <c r="H79" i="2"/>
  <c r="H77" i="2"/>
  <c r="H103" i="2"/>
  <c r="H38" i="2"/>
  <c r="H91" i="2"/>
  <c r="H89" i="2"/>
  <c r="H122" i="2"/>
  <c r="O35" i="1" l="1"/>
  <c r="O63" i="1" l="1"/>
  <c r="I59" i="98" l="1"/>
  <c r="H59" i="98"/>
  <c r="G59" i="98"/>
  <c r="C59" i="98"/>
  <c r="J59" i="98"/>
  <c r="K59" i="98" s="1"/>
  <c r="H121" i="98"/>
  <c r="H122" i="98"/>
  <c r="H123" i="98"/>
  <c r="H118" i="98"/>
  <c r="H119" i="98"/>
  <c r="H120" i="98"/>
  <c r="H109" i="98"/>
  <c r="H110" i="98"/>
  <c r="H111" i="98"/>
  <c r="H112" i="98"/>
  <c r="H113" i="98"/>
  <c r="H114" i="98"/>
  <c r="H115" i="98"/>
  <c r="H116" i="98"/>
  <c r="H117" i="98"/>
  <c r="H108" i="98"/>
  <c r="C15" i="98" l="1"/>
  <c r="H47" i="98" l="1"/>
  <c r="A5" i="98" l="1"/>
  <c r="I54" i="98" l="1"/>
  <c r="J54" i="98"/>
  <c r="K54" i="98"/>
  <c r="I55" i="98"/>
  <c r="J55" i="98"/>
  <c r="K55" i="98"/>
  <c r="I56" i="98"/>
  <c r="J56" i="98"/>
  <c r="K56" i="98"/>
  <c r="I57" i="98"/>
  <c r="J57" i="98"/>
  <c r="K57" i="98"/>
  <c r="I58" i="98"/>
  <c r="J58" i="98"/>
  <c r="K58" i="98"/>
  <c r="C54" i="98"/>
  <c r="C55" i="98"/>
  <c r="C56" i="98"/>
  <c r="C57" i="98"/>
  <c r="C58" i="98"/>
  <c r="F8" i="98" l="1"/>
  <c r="B109" i="98"/>
  <c r="B110" i="98"/>
  <c r="B111" i="98"/>
  <c r="B112" i="98"/>
  <c r="B113" i="98"/>
  <c r="B114" i="98"/>
  <c r="B115" i="98"/>
  <c r="B116" i="98"/>
  <c r="B117" i="98"/>
  <c r="B118" i="98"/>
  <c r="B119" i="98"/>
  <c r="B120" i="98"/>
  <c r="B121" i="98"/>
  <c r="B122" i="98"/>
  <c r="B123" i="98"/>
  <c r="B124" i="98"/>
  <c r="B125" i="98"/>
  <c r="B126" i="98"/>
  <c r="B127" i="98"/>
  <c r="B128" i="98"/>
  <c r="B129" i="98"/>
  <c r="B130" i="98"/>
  <c r="B131" i="98"/>
  <c r="B132" i="98"/>
  <c r="B133" i="98"/>
  <c r="B134" i="98"/>
  <c r="B135" i="98"/>
  <c r="B136" i="98"/>
  <c r="B137" i="98"/>
  <c r="B138" i="98"/>
  <c r="B139" i="98"/>
  <c r="B140" i="98"/>
  <c r="B141" i="98"/>
  <c r="B142" i="98"/>
  <c r="B143" i="98"/>
  <c r="B144" i="98"/>
  <c r="B145" i="98"/>
  <c r="B146" i="98"/>
  <c r="B147" i="98"/>
  <c r="B148" i="98"/>
  <c r="B149" i="98"/>
  <c r="B150" i="98"/>
  <c r="B151" i="98"/>
  <c r="B152" i="98"/>
  <c r="B153" i="98"/>
  <c r="B154" i="98"/>
  <c r="B155" i="98"/>
  <c r="B156" i="98"/>
  <c r="B157" i="98"/>
  <c r="B158" i="98"/>
  <c r="B159" i="98"/>
  <c r="B160" i="98"/>
  <c r="B161" i="98"/>
  <c r="B162" i="98"/>
  <c r="B163" i="98"/>
  <c r="B164" i="98"/>
  <c r="B165" i="98"/>
  <c r="B166" i="98"/>
  <c r="B167" i="98"/>
  <c r="B168" i="98"/>
  <c r="B169" i="98"/>
  <c r="B170" i="98"/>
  <c r="B171" i="98"/>
  <c r="B172" i="98"/>
  <c r="B173" i="98"/>
  <c r="B174" i="98"/>
  <c r="B175" i="98"/>
  <c r="B176" i="98"/>
  <c r="B177" i="98"/>
  <c r="B178" i="98"/>
  <c r="B179" i="98"/>
  <c r="B185" i="98"/>
  <c r="B186" i="98"/>
  <c r="B187" i="98"/>
  <c r="B188" i="98"/>
  <c r="B189" i="98"/>
  <c r="B190" i="98"/>
  <c r="B191" i="98"/>
  <c r="B192" i="98"/>
  <c r="B193" i="98"/>
  <c r="B194" i="98"/>
  <c r="B195" i="98"/>
  <c r="B196" i="98"/>
  <c r="B197" i="98"/>
  <c r="B198" i="98"/>
  <c r="B199" i="98"/>
  <c r="B200" i="98"/>
  <c r="B201" i="98"/>
  <c r="B202" i="98"/>
  <c r="B203" i="98"/>
  <c r="B204" i="98"/>
  <c r="B205" i="98"/>
  <c r="B206" i="98"/>
  <c r="N98" i="1"/>
  <c r="N99" i="1"/>
  <c r="O98" i="1"/>
  <c r="O99" i="1"/>
  <c r="S98" i="1"/>
  <c r="S99" i="1"/>
  <c r="T98" i="1"/>
  <c r="T99" i="1"/>
  <c r="Q99" i="1" l="1"/>
  <c r="P99" i="1"/>
  <c r="P98" i="1"/>
  <c r="Q98" i="1"/>
  <c r="R99" i="1"/>
  <c r="U99" i="1" s="1"/>
  <c r="R98" i="1"/>
  <c r="U98" i="1" s="1"/>
  <c r="E17" i="98"/>
  <c r="E10" i="98"/>
  <c r="O4" i="98"/>
  <c r="I3" i="98"/>
  <c r="A6" i="98" s="1"/>
  <c r="K2" i="98" l="1"/>
  <c r="E11" i="98"/>
  <c r="E12" i="98"/>
  <c r="F133" i="98"/>
  <c r="F132" i="98"/>
  <c r="F131" i="98"/>
  <c r="F130" i="98"/>
  <c r="F129" i="98"/>
  <c r="F128" i="98"/>
  <c r="F127" i="98"/>
  <c r="F126" i="98"/>
  <c r="F125" i="98"/>
  <c r="F124" i="98"/>
  <c r="F123" i="98"/>
  <c r="F122" i="98"/>
  <c r="F114" i="98"/>
  <c r="F113" i="98"/>
  <c r="F112" i="98"/>
  <c r="F111" i="98"/>
  <c r="F110" i="98"/>
  <c r="F109" i="98"/>
  <c r="F108" i="98"/>
  <c r="C108" i="98"/>
  <c r="B108" i="98"/>
  <c r="B73" i="98"/>
  <c r="B72" i="98"/>
  <c r="I69" i="98"/>
  <c r="F69" i="98"/>
  <c r="I68" i="98"/>
  <c r="F68" i="98"/>
  <c r="K67" i="98"/>
  <c r="I64" i="98"/>
  <c r="H64" i="98"/>
  <c r="K53" i="98"/>
  <c r="J53" i="98"/>
  <c r="I53" i="98"/>
  <c r="C53" i="98"/>
  <c r="K52" i="98"/>
  <c r="J52" i="98"/>
  <c r="I52" i="98"/>
  <c r="C52" i="98"/>
  <c r="K51" i="98"/>
  <c r="J51" i="98"/>
  <c r="I51" i="98"/>
  <c r="C51" i="98"/>
  <c r="K50" i="98"/>
  <c r="J50" i="98"/>
  <c r="I50" i="98"/>
  <c r="C50" i="98"/>
  <c r="I49" i="98"/>
  <c r="C49" i="98"/>
  <c r="I48" i="98"/>
  <c r="C48" i="98"/>
  <c r="I47" i="98"/>
  <c r="C47" i="98"/>
  <c r="I46" i="98"/>
  <c r="C46" i="98"/>
  <c r="I45" i="98"/>
  <c r="C45" i="98"/>
  <c r="I44" i="98"/>
  <c r="C44" i="98"/>
  <c r="I43" i="98"/>
  <c r="C43" i="98"/>
  <c r="I42" i="98"/>
  <c r="C42" i="98"/>
  <c r="I41" i="98"/>
  <c r="C41" i="98"/>
  <c r="I40" i="98"/>
  <c r="C40" i="98"/>
  <c r="I39" i="98"/>
  <c r="C39" i="98"/>
  <c r="I38" i="98"/>
  <c r="C38" i="98"/>
  <c r="I37" i="98"/>
  <c r="C37" i="98"/>
  <c r="I36" i="98"/>
  <c r="C36" i="98"/>
  <c r="I35" i="98"/>
  <c r="C35" i="98"/>
  <c r="J29" i="98"/>
  <c r="I29" i="98"/>
  <c r="H29" i="98"/>
  <c r="G29" i="98"/>
  <c r="F29" i="98"/>
  <c r="E29" i="98"/>
  <c r="J28" i="98"/>
  <c r="I28" i="98"/>
  <c r="H28" i="98"/>
  <c r="G28" i="98"/>
  <c r="F28" i="98"/>
  <c r="E28" i="98"/>
  <c r="J27" i="98"/>
  <c r="I27" i="98"/>
  <c r="H27" i="98"/>
  <c r="G27" i="98"/>
  <c r="F27" i="98"/>
  <c r="E27" i="98"/>
  <c r="J26" i="98"/>
  <c r="I26" i="98"/>
  <c r="H26" i="98"/>
  <c r="G26" i="98"/>
  <c r="F26" i="98"/>
  <c r="E26" i="98"/>
  <c r="J25" i="98"/>
  <c r="I25" i="98"/>
  <c r="H25" i="98"/>
  <c r="G25" i="98"/>
  <c r="F25" i="98"/>
  <c r="E25" i="98"/>
  <c r="J24" i="98"/>
  <c r="I24" i="98"/>
  <c r="H24" i="98"/>
  <c r="G24" i="98"/>
  <c r="F24" i="98"/>
  <c r="E24" i="98"/>
  <c r="J23" i="98"/>
  <c r="I23" i="98"/>
  <c r="H23" i="98"/>
  <c r="G23" i="98"/>
  <c r="F23" i="98"/>
  <c r="E23" i="98"/>
  <c r="J22" i="98"/>
  <c r="I22" i="98"/>
  <c r="H22" i="98"/>
  <c r="G22" i="98"/>
  <c r="F22" i="98"/>
  <c r="E22" i="98"/>
  <c r="J21" i="98"/>
  <c r="I21" i="98"/>
  <c r="H21" i="98"/>
  <c r="G21" i="98"/>
  <c r="F21" i="98"/>
  <c r="E21" i="98"/>
  <c r="J20" i="98"/>
  <c r="I20" i="98"/>
  <c r="H20" i="98"/>
  <c r="G20" i="98"/>
  <c r="F20" i="98"/>
  <c r="E20" i="98"/>
  <c r="J19" i="98"/>
  <c r="I19" i="98"/>
  <c r="H19" i="98"/>
  <c r="G19" i="98"/>
  <c r="F19" i="98"/>
  <c r="E19" i="98"/>
  <c r="J18" i="98"/>
  <c r="I18" i="98"/>
  <c r="H18" i="98"/>
  <c r="G18" i="98"/>
  <c r="F18" i="98"/>
  <c r="E18" i="98"/>
  <c r="J14" i="98"/>
  <c r="I14" i="98"/>
  <c r="H14" i="98"/>
  <c r="G14" i="98"/>
  <c r="F14" i="98"/>
  <c r="E14" i="98"/>
  <c r="K14" i="98" s="1"/>
  <c r="E13" i="98"/>
  <c r="E8" i="98"/>
  <c r="K68" i="98" l="1"/>
  <c r="K69" i="98"/>
  <c r="K18" i="98"/>
  <c r="K19" i="98"/>
  <c r="K20" i="98"/>
  <c r="K21" i="98"/>
  <c r="K22" i="98"/>
  <c r="K23" i="98"/>
  <c r="K24" i="98"/>
  <c r="K25" i="98"/>
  <c r="K26" i="98"/>
  <c r="K27" i="98"/>
  <c r="K28" i="98"/>
  <c r="K29" i="98"/>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J49" i="98"/>
  <c r="K49" i="98" s="1"/>
  <c r="E16" i="98"/>
  <c r="O39" i="1"/>
  <c r="F17" i="98"/>
  <c r="J9" i="48"/>
  <c r="K9" i="48"/>
  <c r="E15" i="98"/>
  <c r="F10" i="98"/>
  <c r="F11" i="98"/>
  <c r="F12" i="98"/>
  <c r="F15" i="98"/>
  <c r="F16" i="98"/>
  <c r="F13" i="9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H15" i="98"/>
  <c r="R51" i="1"/>
  <c r="R66" i="1"/>
  <c r="R34" i="1"/>
  <c r="T35" i="1"/>
  <c r="R35" i="1"/>
  <c r="T34" i="1"/>
  <c r="T32" i="1"/>
  <c r="R48" i="1"/>
  <c r="T66" i="1"/>
  <c r="S66" i="1"/>
  <c r="F6" i="57"/>
  <c r="E31" i="98"/>
  <c r="J47" i="98"/>
  <c r="K47" i="98" s="1"/>
  <c r="G7" i="57"/>
  <c r="R38" i="1"/>
  <c r="P2" i="48"/>
  <c r="H16" i="98"/>
  <c r="H17" i="98"/>
  <c r="G17" i="98"/>
  <c r="O9" i="48"/>
  <c r="N9" i="48"/>
  <c r="N7" i="48"/>
  <c r="F31" i="98"/>
  <c r="G15" i="98"/>
  <c r="H11" i="98"/>
  <c r="G16" i="98"/>
  <c r="H12" i="98"/>
  <c r="H13" i="98"/>
  <c r="H10" i="98"/>
  <c r="G10" i="98"/>
  <c r="G12" i="98"/>
  <c r="G13" i="98"/>
  <c r="G11" i="9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8" i="98"/>
  <c r="K48" i="98" s="1"/>
  <c r="J46" i="98"/>
  <c r="K46" i="98" s="1"/>
  <c r="P9" i="48"/>
  <c r="J45" i="98"/>
  <c r="K45" i="98" s="1"/>
  <c r="J38" i="98"/>
  <c r="K38" i="98" s="1"/>
  <c r="J37" i="98"/>
  <c r="K37" i="98" s="1"/>
  <c r="J39" i="98"/>
  <c r="K39" i="98" s="1"/>
  <c r="J35" i="98"/>
  <c r="K35" i="98" s="1"/>
  <c r="J40" i="98"/>
  <c r="K40" i="98" s="1"/>
  <c r="J43" i="98"/>
  <c r="K43" i="98" s="1"/>
  <c r="J42" i="98"/>
  <c r="K42" i="98" s="1"/>
  <c r="J41" i="98"/>
  <c r="K41" i="98" s="1"/>
  <c r="J36" i="98"/>
  <c r="K36" i="98" s="1"/>
  <c r="J44" i="98"/>
  <c r="K44" i="98" s="1"/>
  <c r="R32" i="1"/>
  <c r="G31" i="98"/>
  <c r="H31" i="98"/>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J16" i="98"/>
  <c r="J17" i="98"/>
  <c r="I17" i="98"/>
  <c r="K17" i="98" s="1"/>
  <c r="I12" i="98"/>
  <c r="I10" i="98"/>
  <c r="I13" i="98"/>
  <c r="U31" i="1"/>
  <c r="K61" i="98"/>
  <c r="E64" i="98" s="1"/>
  <c r="I15" i="98"/>
  <c r="J15" i="98"/>
  <c r="J11" i="98"/>
  <c r="I16" i="98"/>
  <c r="I11" i="98"/>
  <c r="J12" i="98"/>
  <c r="J13" i="98"/>
  <c r="K13" i="98" s="1"/>
  <c r="J10" i="98"/>
  <c r="I6" i="57"/>
  <c r="I7" i="57"/>
  <c r="H7" i="57"/>
  <c r="L8" i="52"/>
  <c r="T7" i="52"/>
  <c r="R7" i="52"/>
  <c r="P7" i="52"/>
  <c r="N7" i="52"/>
  <c r="U7" i="52"/>
  <c r="S7" i="52"/>
  <c r="Q7" i="52"/>
  <c r="O7" i="52"/>
  <c r="M7" i="52"/>
  <c r="R5" i="1"/>
  <c r="T5" i="1"/>
  <c r="S5" i="1"/>
  <c r="I31" i="136" l="1"/>
  <c r="K11" i="136"/>
  <c r="J6" i="57"/>
  <c r="K12" i="98"/>
  <c r="K16" i="98"/>
  <c r="K64" i="98"/>
  <c r="K73" i="98" s="1"/>
  <c r="K15" i="98"/>
  <c r="J31" i="98"/>
  <c r="K10" i="98"/>
  <c r="K11" i="98"/>
  <c r="I31" i="98"/>
  <c r="J7" i="57"/>
  <c r="L9" i="52"/>
  <c r="T8" i="52"/>
  <c r="R8" i="52"/>
  <c r="P8" i="52"/>
  <c r="N8" i="52"/>
  <c r="U8" i="52"/>
  <c r="S8" i="52"/>
  <c r="Q8" i="52"/>
  <c r="O8" i="52"/>
  <c r="M8" i="52"/>
  <c r="U5" i="1"/>
  <c r="J10" i="136" l="1"/>
  <c r="K10" i="136" s="1"/>
  <c r="K31" i="136" s="1"/>
  <c r="K63" i="136" s="1"/>
  <c r="K65" i="136" s="1"/>
  <c r="K70" i="136" s="1"/>
  <c r="K31" i="98"/>
  <c r="K63" i="98" s="1"/>
  <c r="K65" i="98" s="1"/>
  <c r="K70" i="98" s="1"/>
  <c r="K72" i="98"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<sst xmlns="http://schemas.openxmlformats.org/spreadsheetml/2006/main" count="1656" uniqueCount="620">
  <si>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</si>
  <si>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</si>
  <si>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</si>
  <si>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</si>
  <si>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</si>
  <si>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</si>
  <si>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</si>
  <si>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</si>
  <si>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</si>
  <si>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</si>
  <si>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</si>
  <si>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</si>
  <si>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</si>
  <si>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</si>
  <si>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</si>
  <si>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</si>
  <si>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</si>
  <si>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</si>
  <si>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</si>
  <si>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</si>
  <si>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</si>
  <si>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</si>
  <si>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</si>
  <si>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</si>
  <si>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</si>
  <si>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</si>
  <si>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</si>
  <si>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</si>
  <si>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</si>
  <si>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</si>
  <si>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</si>
  <si>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</si>
  <si>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</si>
  <si>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</si>
  <si>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</si>
  <si>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</si>
  <si>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</si>
  <si>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</si>
  <si>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</si>
  <si>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</si>
  <si>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</si>
  <si>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</si>
  <si>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</si>
  <si>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</si>
  <si>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</si>
  <si>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</si>
  <si>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</si>
  <si>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</si>
  <si>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</si>
  <si>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</si>
  <si>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</si>
  <si>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</si>
  <si>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</si>
  <si>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</si>
  <si>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</si>
  <si>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</si>
  <si>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</si>
  <si>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</si>
  <si>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</si>
  <si>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</si>
  <si>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</si>
  <si>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</si>
  <si>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</si>
  <si>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</si>
  <si>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</si>
  <si>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</si>
  <si>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</si>
  <si>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</si>
  <si>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</si>
  <si>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</si>
  <si>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</si>
  <si>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</si>
  <si>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</si>
  <si>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</si>
  <si>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</si>
  <si>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</si>
  <si>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</si>
  <si>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</si>
  <si>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</si>
  <si>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</si>
  <si>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</si>
  <si>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</si>
  <si>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</si>
  <si>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</si>
  <si>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</si>
  <si>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</si>
  <si>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</si>
  <si>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</si>
  <si>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</si>
  <si>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</si>
  <si>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</si>
  <si>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</si>
  <si>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</si>
  <si>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</si>
  <si>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</si>
  <si>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</si>
  <si>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</si>
  <si>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</si>
  <si>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</si>
  <si>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</si>
  <si>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</si>
  <si>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</si>
  <si>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</si>
  <si>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</si>
  <si>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</si>
  <si>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</si>
  <si>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</si>
  <si>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</si>
  <si>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</si>
  <si>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</si>
  <si>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</si>
  <si>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</si>
  <si>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</si>
  <si>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</si>
  <si>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</si>
  <si>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</si>
  <si>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</si>
  <si>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</si>
  <si>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</si>
  <si>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</si>
  <si>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</si>
  <si>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</si>
  <si>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</si>
  <si>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</si>
  <si>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</si>
  <si>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</si>
  <si>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</si>
  <si>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</si>
  <si>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</si>
  <si>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</si>
  <si>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</si>
  <si>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</si>
  <si>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</si>
  <si>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</si>
  <si>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</si>
  <si>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</si>
  <si>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</si>
  <si>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</si>
  <si>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</si>
  <si>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</si>
  <si>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</si>
  <si>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</si>
  <si>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</si>
  <si>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</si>
  <si>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</si>
  <si>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</si>
  <si>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</si>
  <si>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</si>
  <si>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</si>
  <si>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</si>
  <si>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</si>
  <si>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</si>
  <si>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</si>
  <si>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</si>
  <si>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</si>
  <si>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</si>
  <si>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</si>
  <si>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</si>
  <si>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</si>
  <si>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</si>
  <si>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</si>
  <si>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</si>
  <si>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</si>
  <si>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</si>
  <si>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</si>
  <si>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</si>
  <si>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</si>
  <si>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</si>
  <si>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</si>
  <si>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</si>
  <si>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</si>
  <si>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</si>
  <si>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</si>
  <si>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</si>
  <si>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</si>
  <si>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</si>
  <si>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</si>
  <si>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</si>
  <si>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</si>
  <si>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</si>
  <si>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</si>
  <si>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</si>
  <si>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</si>
  <si>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</si>
  <si>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</si>
  <si>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</si>
  <si>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</si>
  <si>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</si>
  <si>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</si>
  <si>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</si>
  <si>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</si>
  <si>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</si>
  <si>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</si>
  <si>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</si>
  <si>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</si>
  <si>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</si>
  <si>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</si>
  <si>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</si>
  <si>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</si>
  <si>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</si>
  <si>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</si>
  <si>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</si>
  <si>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</si>
  <si>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</si>
  <si>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</si>
  <si>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</si>
  <si>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</si>
  <si>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</si>
  <si>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</si>
  <si>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</si>
  <si>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</si>
  <si>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</si>
  <si>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</si>
  <si>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</si>
  <si>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</si>
  <si>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</si>
  <si>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</si>
  <si>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</si>
  <si>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</si>
  <si>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</si>
  <si>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</si>
  <si>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</si>
  <si>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</si>
  <si>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</si>
  <si>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</si>
  <si>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</si>
  <si>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</si>
  <si>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</si>
  <si>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</si>
  <si>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</si>
  <si>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</si>
  <si>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</si>
  <si>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</si>
  <si>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</si>
  <si>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</si>
  <si>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</si>
  <si>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</si>
  <si>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</si>
  <si>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</si>
  <si>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</si>
  <si>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</si>
  <si>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</si>
  <si>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</si>
  <si>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</si>
  <si>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</si>
  <si>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</si>
  <si>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</si>
  <si>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</si>
  <si>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</si>
  <si>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</si>
  <si>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</si>
  <si>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</si>
  <si>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</si>
  <si>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</si>
  <si>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</si>
  <si>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</si>
  <si>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</si>
  <si>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</si>
  <si>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</si>
  <si>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</si>
  <si>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</si>
  <si>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</si>
  <si>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</si>
  <si>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</si>
  <si>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</si>
  <si>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</si>
  <si>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</si>
  <si>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</si>
  <si>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</si>
  <si>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</si>
  <si>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</si>
  <si>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</si>
  <si>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</si>
  <si>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</si>
  <si>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</si>
  <si>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</si>
  <si>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</si>
  <si>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</si>
  <si>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</si>
  <si>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</si>
  <si>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</si>
  <si>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</si>
  <si>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</si>
  <si>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</si>
  <si>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</si>
  <si>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</si>
  <si>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</si>
  <si>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</si>
  <si>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</si>
  <si>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</si>
  <si>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</si>
  <si>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</si>
  <si>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</si>
  <si>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</si>
  <si>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</si>
  <si>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</si>
  <si>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</si>
  <si>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</si>
  <si>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</si>
  <si>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</si>
  <si>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</si>
  <si>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</si>
  <si>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</si>
  <si>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</si>
  <si>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</si>
  <si>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</si>
  <si>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</si>
  <si>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</si>
  <si>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</si>
  <si>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</si>
  <si>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</si>
  <si>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</si>
  <si>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</si>
  <si>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</si>
  <si>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</si>
  <si>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</si>
  <si>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</si>
  <si>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</si>
  <si>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</si>
  <si>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</si>
  <si>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</si>
  <si>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</si>
  <si>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</si>
  <si>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</si>
  <si>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</si>
  <si>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</si>
  <si>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</si>
  <si>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</si>
  <si>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</si>
  <si>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</si>
  <si>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</si>
  <si>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</si>
  <si>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</si>
  <si>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</si>
  <si>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</si>
  <si>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</si>
  <si>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</si>
  <si>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</si>
  <si>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</si>
  <si>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</si>
  <si>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</si>
  <si>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</si>
  <si>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</si>
  <si>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</si>
  <si>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</si>
  <si>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</si>
  <si>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</si>
  <si>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</si>
  <si>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</si>
  <si>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</si>
  <si>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</si>
  <si>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</si>
  <si>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</si>
  <si>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</si>
  <si>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</si>
  <si>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</si>
  <si>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</si>
  <si>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</si>
  <si>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</si>
  <si>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</si>
  <si>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</si>
  <si>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</si>
  <si>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</si>
  <si>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</si>
  <si>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</si>
  <si>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</si>
  <si>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</si>
  <si>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</si>
  <si>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</si>
  <si>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</si>
  <si>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</si>
  <si>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</si>
  <si>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</si>
  <si>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</si>
  <si>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</si>
  <si>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</si>
  <si>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</si>
  <si>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</si>
  <si>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</si>
  <si>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</si>
  <si>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</si>
  <si>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</si>
  <si>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</si>
  <si>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</si>
  <si>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</si>
  <si>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</si>
  <si>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</si>
  <si>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</si>
  <si>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</si>
  <si>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</si>
  <si>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</si>
  <si>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</si>
  <si>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</si>
  <si>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</si>
  <si>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</si>
  <si>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</si>
  <si>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</si>
  <si>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</si>
  <si>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</si>
  <si>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</si>
  <si>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</si>
  <si>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</si>
  <si>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</si>
  <si>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</si>
  <si>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</si>
  <si>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</si>
  <si>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</si>
  <si>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</si>
  <si>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</si>
  <si>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</si>
  <si>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</si>
  <si>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</si>
  <si>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</si>
  <si>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</si>
  <si>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</si>
  <si>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</si>
  <si>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</si>
  <si>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</si>
  <si>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</si>
  <si>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</si>
  <si>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</si>
  <si>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</si>
  <si>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</si>
  <si>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</si>
  <si>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</si>
  <si>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</si>
  <si>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</si>
  <si>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</si>
  <si>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</si>
  <si>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</si>
  <si>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</si>
  <si>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</si>
  <si>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</si>
  <si>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</si>
  <si>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</si>
  <si>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</si>
  <si>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</si>
  <si>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</si>
  <si>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</si>
  <si>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</si>
  <si>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</si>
  <si>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</si>
  <si>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</si>
  <si>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</si>
  <si>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</si>
  <si>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</si>
  <si>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</si>
  <si>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</si>
  <si>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</si>
  <si>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</si>
  <si>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</si>
  <si>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</si>
  <si>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</si>
  <si>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</si>
  <si>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</si>
  <si>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</si>
  <si>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</si>
  <si>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</si>
  <si>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</si>
  <si>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</si>
  <si>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</si>
  <si>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</si>
  <si>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</si>
  <si>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</si>
  <si>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</si>
  <si>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</si>
  <si>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</si>
  <si>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</si>
  <si>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</si>
  <si>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</si>
  <si>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</si>
  <si>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</si>
  <si>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</si>
  <si>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</si>
  <si>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</si>
  <si>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</si>
  <si>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</si>
  <si>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</si>
  <si>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</si>
  <si>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</si>
  <si>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</si>
  <si>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</si>
  <si>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</si>
  <si>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</si>
  <si>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</si>
  <si>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</si>
  <si>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</si>
  <si>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</si>
  <si>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</si>
  <si>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</si>
  <si>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</si>
  <si>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</si>
  <si>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</si>
  <si>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</si>
  <si>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</si>
  <si>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</si>
  <si>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</si>
  <si>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</si>
  <si>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</si>
  <si>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</si>
  <si>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</si>
  <si>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</si>
  <si>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</si>
  <si>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</si>
  <si>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</si>
  <si>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</si>
  <si>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</si>
  <si>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</si>
  <si>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</si>
  <si>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</si>
  <si>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</si>
  <si>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</si>
  <si>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</si>
  <si>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</si>
  <si>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</si>
  <si>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</si>
  <si>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</si>
  <si>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</si>
  <si>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</si>
  <si>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</si>
  <si>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</si>
  <si>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</si>
  <si>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</si>
  <si>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</si>
  <si>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</si>
  <si>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</si>
  <si>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</si>
  <si>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</si>
  <si>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</si>
  <si>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</si>
  <si>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</si>
  <si>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</si>
  <si>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</si>
  <si>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</si>
  <si>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</si>
  <si>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</si>
  <si>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</si>
  <si>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</si>
  <si>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</si>
  <si>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</si>
  <si>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</si>
  <si>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</si>
  <si>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</si>
  <si>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</si>
  <si>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No-Till Drilled 7.5" rows, Roundup Ready after Corn</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</si>
  <si>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</si>
  <si>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</si>
  <si>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</si>
  <si>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</si>
  <si>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</si>
  <si>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</si>
  <si>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</si>
  <si>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</si>
  <si>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</si>
  <si>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</si>
  <si>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</si>
  <si>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</si>
  <si>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</si>
  <si>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</si>
  <si>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</si>
  <si>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</si>
  <si>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</si>
  <si>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</si>
  <si>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</si>
  <si>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</si>
  <si>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</si>
  <si>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</si>
  <si>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</si>
  <si>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</si>
  <si>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</si>
  <si>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</si>
  <si>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</si>
  <si>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</si>
  <si>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</si>
  <si>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</si>
  <si>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</si>
  <si>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</si>
  <si>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</si>
  <si>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</si>
  <si>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</si>
  <si>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</si>
  <si>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</si>
  <si>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</si>
  <si>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</si>
  <si>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</si>
  <si>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53. Soybeans</t>
  </si>
  <si>
    <t>Farm Wide Inputs</t>
  </si>
  <si>
    <t>Alfalfa</t>
  </si>
  <si>
    <t>Dry Beans</t>
  </si>
  <si>
    <t>Grain Sorghum</t>
  </si>
  <si>
    <t>Grass</t>
  </si>
  <si>
    <t>Grass Hay</t>
  </si>
  <si>
    <t>Pasture</t>
  </si>
  <si>
    <t>Sorghum-Sudan</t>
  </si>
  <si>
    <t>Soybeans</t>
  </si>
  <si>
    <t>Wheat</t>
  </si>
  <si>
    <t>Pivot (Marginal Land)</t>
  </si>
  <si>
    <t>* Insecticide for Aphids and Army Cutworms</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</si>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</sst>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72417272"/>
        <c:axId val="472417664"/>
      </c:lineChart>
      <c:catAx>
        <c:axId val="472417272"/>
        <c:scaling>
          <c:orientation val="minMax"/>
        </c:scaling>
        <c:delete val="0"/>
        <c:axPos val="b"/>
        <c:majorTickMark val="out"/>
        <c:minorTickMark val="none"/>
        <c:tickLblPos val="nextTo"/>
        <c:crossAx val="472417664"/>
        <c:crosses val="autoZero"/>
        <c:auto val="1"/>
        <c:lblAlgn val="ctr"/>
        <c:lblOffset val="100"/>
        <c:noMultiLvlLbl val="0"/>
      </c:catAx>
      <c:valAx>
        <c:axId val="472417664"/>
        <c:scaling>
          <c:orientation val="minMax"/>
        </c:scaling>
        <c:delete val="0"/>
        <c:axPos val="l"/>
        <c:majorGridlines/>
        <c:numFmt formatCode="General" sourceLinked="1"/>
        <c:majorTickMark val="out"/>
        <c:minorTickMark val="none"/>
        <c:tickLblPos val="nextTo"/>
        <c:crossAx val="47241727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4" t="s">
        <v>483</v>
      </c>
    </row>
    <row r="40" spans="3:12" x14ac:dyDescent="0.2">
      <c r="D40" s="27" t="s">
        <v>485</v>
      </c>
      <c r="F40" s="27" t="s">
        <v>604</v>
      </c>
      <c r="L40" s="194" t="s">
        <v>484</v>
      </c>
    </row>
    <row r="41" spans="3:12" x14ac:dyDescent="0.2">
      <c r="D41" s="27" t="s">
        <v>486</v>
      </c>
      <c r="F41" s="27" t="s">
        <v>605</v>
      </c>
      <c r="L41" s="194" t="s">
        <v>487</v>
      </c>
    </row>
    <row r="42" spans="3:12" x14ac:dyDescent="0.2">
      <c r="D42" s="27" t="s">
        <v>606</v>
      </c>
      <c r="F42" s="27" t="s">
        <v>607</v>
      </c>
      <c r="L42" s="194" t="s">
        <v>608</v>
      </c>
    </row>
    <row r="43" spans="3:12" x14ac:dyDescent="0.2">
      <c r="D43" s="27" t="s">
        <v>609</v>
      </c>
      <c r="F43" s="27" t="s">
        <v>610</v>
      </c>
      <c r="L43" s="194" t="s">
        <v>488</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586</v>
      </c>
      <c r="B1" s="307"/>
      <c r="C1" s="307"/>
      <c r="D1" s="307"/>
      <c r="E1" s="307"/>
      <c r="F1" s="307"/>
      <c r="G1" s="307"/>
      <c r="H1" s="307"/>
      <c r="I1" s="307"/>
    </row>
    <row r="3" spans="1:14" ht="15.75" x14ac:dyDescent="0.25">
      <c r="A3" s="28" t="s">
        <v>370</v>
      </c>
      <c r="B3" s="76">
        <v>2015</v>
      </c>
      <c r="C3" s="80"/>
      <c r="E3" s="217" t="s">
        <v>416</v>
      </c>
      <c r="M3" s="31"/>
      <c r="N3" s="31"/>
    </row>
    <row r="4" spans="1:14" x14ac:dyDescent="0.2">
      <c r="A4" s="29" t="s">
        <v>88</v>
      </c>
      <c r="B4" s="74">
        <v>20</v>
      </c>
      <c r="C4" s="81" t="s">
        <v>91</v>
      </c>
      <c r="E4" s="27" t="s">
        <v>417</v>
      </c>
      <c r="F4" s="27" t="s">
        <v>418</v>
      </c>
    </row>
    <row r="5" spans="1:14" x14ac:dyDescent="0.2">
      <c r="A5" s="29" t="s">
        <v>89</v>
      </c>
      <c r="B5" s="74">
        <v>3.25</v>
      </c>
      <c r="C5" s="82" t="s">
        <v>468</v>
      </c>
      <c r="E5" s="84" t="s">
        <v>473</v>
      </c>
      <c r="F5" s="298">
        <v>3730</v>
      </c>
    </row>
    <row r="6" spans="1:14" x14ac:dyDescent="0.2">
      <c r="A6" s="30" t="s">
        <v>432</v>
      </c>
      <c r="B6" s="77">
        <v>1.1499999999999999</v>
      </c>
      <c r="C6" s="82"/>
      <c r="E6" s="84" t="s">
        <v>480</v>
      </c>
      <c r="F6" s="298">
        <v>845</v>
      </c>
    </row>
    <row r="7" spans="1:14" x14ac:dyDescent="0.2">
      <c r="A7" s="30" t="s">
        <v>433</v>
      </c>
      <c r="B7" s="192">
        <f>B5*B6</f>
        <v>3.7374999999999998</v>
      </c>
      <c r="C7" s="81" t="s">
        <v>93</v>
      </c>
      <c r="E7" s="84" t="s">
        <v>412</v>
      </c>
      <c r="F7" s="298">
        <v>7310</v>
      </c>
    </row>
    <row r="8" spans="1:14" x14ac:dyDescent="0.2">
      <c r="A8" s="29" t="s">
        <v>90</v>
      </c>
      <c r="B8" s="75">
        <v>0.1</v>
      </c>
      <c r="C8" s="81" t="s">
        <v>92</v>
      </c>
      <c r="E8" s="84" t="s">
        <v>413</v>
      </c>
      <c r="F8" s="298">
        <v>3040</v>
      </c>
    </row>
    <row r="9" spans="1:14" x14ac:dyDescent="0.2">
      <c r="A9" s="29" t="s">
        <v>369</v>
      </c>
      <c r="B9" s="78">
        <v>0.02</v>
      </c>
      <c r="C9" s="83"/>
      <c r="E9" s="84" t="s">
        <v>414</v>
      </c>
      <c r="F9" s="298">
        <v>7685</v>
      </c>
    </row>
    <row r="10" spans="1:14" x14ac:dyDescent="0.2">
      <c r="A10" s="29" t="s">
        <v>105</v>
      </c>
      <c r="B10" s="78">
        <v>0.04</v>
      </c>
      <c r="C10" s="83"/>
      <c r="E10" s="84" t="s">
        <v>415</v>
      </c>
      <c r="F10" s="298">
        <v>3770</v>
      </c>
    </row>
    <row r="11" spans="1:14" x14ac:dyDescent="0.2">
      <c r="A11" s="29" t="s">
        <v>404</v>
      </c>
      <c r="B11" s="78">
        <v>5.5E-2</v>
      </c>
      <c r="C11" s="82"/>
      <c r="E11" s="71" t="s">
        <v>476</v>
      </c>
      <c r="F11" s="299">
        <v>1965</v>
      </c>
    </row>
    <row r="12" spans="1:14" x14ac:dyDescent="0.2">
      <c r="A12" s="29" t="s">
        <v>405</v>
      </c>
      <c r="B12" s="79">
        <v>6</v>
      </c>
      <c r="C12" s="82" t="s">
        <v>406</v>
      </c>
      <c r="E12" s="71" t="s">
        <v>102</v>
      </c>
      <c r="F12" s="299">
        <v>0</v>
      </c>
    </row>
    <row r="13" spans="1:14" ht="15.75" customHeight="1" x14ac:dyDescent="0.2">
      <c r="A13" s="29" t="s">
        <v>420</v>
      </c>
      <c r="B13" s="78">
        <v>0.01</v>
      </c>
      <c r="C13" s="82"/>
      <c r="E13" s="71" t="s">
        <v>596</v>
      </c>
      <c r="F13" s="299">
        <f>F9*0.7</f>
        <v>5379.5</v>
      </c>
    </row>
    <row r="14" spans="1:14" ht="12.75" customHeight="1" x14ac:dyDescent="0.2">
      <c r="A14" s="29" t="s">
        <v>457</v>
      </c>
      <c r="B14" s="74">
        <v>20</v>
      </c>
      <c r="C14" s="82"/>
    </row>
    <row r="15" spans="1:14" ht="12.75" customHeight="1" x14ac:dyDescent="0.2"/>
    <row r="16" spans="1:14" ht="12.75" customHeight="1" x14ac:dyDescent="0.2">
      <c r="A16" s="217" t="s">
        <v>409</v>
      </c>
    </row>
    <row r="17" spans="1:14" ht="12.75" customHeight="1" x14ac:dyDescent="0.2">
      <c r="A17" s="213" t="s">
        <v>503</v>
      </c>
      <c r="B17" s="213" t="s">
        <v>514</v>
      </c>
    </row>
    <row r="18" spans="1:14" ht="12.75" customHeight="1" x14ac:dyDescent="0.2">
      <c r="A18" s="211" t="s">
        <v>505</v>
      </c>
      <c r="B18" s="212">
        <v>23</v>
      </c>
    </row>
    <row r="19" spans="1:14" ht="12.75" customHeight="1" x14ac:dyDescent="0.2">
      <c r="A19" s="211" t="s">
        <v>600</v>
      </c>
      <c r="B19" s="212">
        <v>20</v>
      </c>
    </row>
    <row r="20" spans="1:14" ht="12.75" customHeight="1" x14ac:dyDescent="0.2">
      <c r="A20" s="211" t="s">
        <v>504</v>
      </c>
      <c r="B20" s="212">
        <v>10</v>
      </c>
    </row>
    <row r="21" spans="1:14" ht="12.75" customHeight="1" x14ac:dyDescent="0.2">
      <c r="A21" s="211" t="s">
        <v>508</v>
      </c>
      <c r="B21" s="212">
        <v>21</v>
      </c>
    </row>
    <row r="22" spans="1:14" ht="12.75" customHeight="1" x14ac:dyDescent="0.2">
      <c r="A22" s="211" t="s">
        <v>512</v>
      </c>
      <c r="B22" s="212">
        <v>11</v>
      </c>
    </row>
    <row r="23" spans="1:14" ht="12.75" customHeight="1" x14ac:dyDescent="0.2">
      <c r="A23" s="211" t="s">
        <v>513</v>
      </c>
      <c r="B23" s="212">
        <v>10</v>
      </c>
    </row>
    <row r="24" spans="1:14" ht="12.75" customHeight="1" x14ac:dyDescent="0.2">
      <c r="A24" s="211" t="s">
        <v>43</v>
      </c>
      <c r="B24" s="212">
        <v>15</v>
      </c>
    </row>
    <row r="25" spans="1:14" ht="12.75" customHeight="1" x14ac:dyDescent="0.2">
      <c r="A25" s="211" t="s">
        <v>46</v>
      </c>
      <c r="B25" s="212">
        <v>11</v>
      </c>
    </row>
    <row r="26" spans="1:14" x14ac:dyDescent="0.2">
      <c r="A26" s="211" t="s">
        <v>507</v>
      </c>
      <c r="B26" s="212">
        <v>16</v>
      </c>
    </row>
    <row r="27" spans="1:14" x14ac:dyDescent="0.2">
      <c r="A27" s="211" t="s">
        <v>506</v>
      </c>
      <c r="B27" s="212">
        <v>8.5</v>
      </c>
    </row>
    <row r="28" spans="1:14" x14ac:dyDescent="0.2">
      <c r="A28" s="211" t="s">
        <v>509</v>
      </c>
      <c r="B28" s="212">
        <v>20</v>
      </c>
    </row>
    <row r="29" spans="1:14" x14ac:dyDescent="0.2">
      <c r="A29" s="211" t="s">
        <v>583</v>
      </c>
      <c r="B29" s="212">
        <v>14</v>
      </c>
    </row>
    <row r="30" spans="1:14" x14ac:dyDescent="0.2">
      <c r="A30" s="211" t="s">
        <v>584</v>
      </c>
      <c r="B30" s="212">
        <v>19</v>
      </c>
    </row>
    <row r="31" spans="1:14" x14ac:dyDescent="0.2">
      <c r="A31" s="211" t="s">
        <v>515</v>
      </c>
      <c r="B31" s="212">
        <v>14.5</v>
      </c>
    </row>
    <row r="32" spans="1:14" x14ac:dyDescent="0.2">
      <c r="A32" s="211" t="s">
        <v>510</v>
      </c>
      <c r="B32" s="212">
        <v>9.5</v>
      </c>
      <c r="M32" s="27" t="s">
        <v>517</v>
      </c>
      <c r="N32" s="27" t="s">
        <v>518</v>
      </c>
    </row>
    <row r="33" spans="1:14" x14ac:dyDescent="0.2">
      <c r="A33" s="211" t="s">
        <v>511</v>
      </c>
      <c r="B33" s="211">
        <v>13.25</v>
      </c>
      <c r="L33" s="27">
        <v>1</v>
      </c>
      <c r="M33" s="27" t="s">
        <v>587</v>
      </c>
      <c r="N33" s="27" t="s">
        <v>519</v>
      </c>
    </row>
    <row r="34" spans="1:14" ht="13.5" customHeight="1" x14ac:dyDescent="0.2">
      <c r="L34" s="27">
        <v>2</v>
      </c>
      <c r="M34" s="27" t="s">
        <v>587</v>
      </c>
      <c r="N34" s="27" t="s">
        <v>519</v>
      </c>
    </row>
    <row r="35" spans="1:14" x14ac:dyDescent="0.2">
      <c r="L35" s="27">
        <v>3</v>
      </c>
      <c r="M35" s="27" t="s">
        <v>587</v>
      </c>
      <c r="N35" s="27" t="s">
        <v>519</v>
      </c>
    </row>
    <row r="36" spans="1:14" x14ac:dyDescent="0.2">
      <c r="L36" s="27">
        <v>4</v>
      </c>
      <c r="M36" s="27" t="s">
        <v>587</v>
      </c>
      <c r="N36" s="27" t="s">
        <v>519</v>
      </c>
    </row>
    <row r="37" spans="1:14" x14ac:dyDescent="0.2">
      <c r="L37" s="27">
        <v>5</v>
      </c>
      <c r="M37" s="27" t="s">
        <v>587</v>
      </c>
      <c r="N37" s="27" t="s">
        <v>519</v>
      </c>
    </row>
    <row r="38" spans="1:14" x14ac:dyDescent="0.2">
      <c r="L38" s="27">
        <v>6</v>
      </c>
      <c r="M38" s="27" t="s">
        <v>587</v>
      </c>
      <c r="N38" s="27" t="s">
        <v>519</v>
      </c>
    </row>
    <row r="39" spans="1:14" x14ac:dyDescent="0.2">
      <c r="L39" s="27">
        <v>7</v>
      </c>
      <c r="M39" s="27" t="s">
        <v>587</v>
      </c>
      <c r="N39" s="27" t="s">
        <v>519</v>
      </c>
    </row>
    <row r="40" spans="1:14" ht="13.5" thickBot="1" x14ac:dyDescent="0.25">
      <c r="A40" s="216" t="s">
        <v>517</v>
      </c>
      <c r="B40" s="216" t="s">
        <v>518</v>
      </c>
      <c r="D40" s="305" t="s">
        <v>517</v>
      </c>
      <c r="E40" s="306"/>
      <c r="F40" s="216" t="s">
        <v>518</v>
      </c>
      <c r="H40" s="216" t="s">
        <v>517</v>
      </c>
      <c r="I40" s="216" t="s">
        <v>518</v>
      </c>
      <c r="L40" s="27">
        <v>8</v>
      </c>
      <c r="M40" s="27" t="s">
        <v>587</v>
      </c>
      <c r="N40" s="27" t="s">
        <v>519</v>
      </c>
    </row>
    <row r="41" spans="1:14" ht="13.5" thickTop="1" x14ac:dyDescent="0.2">
      <c r="A41" s="215" t="str">
        <f>CONCATENATE(L33,"-",M33)</f>
        <v>1-Alfalfa</v>
      </c>
      <c r="B41" s="215" t="s">
        <v>519</v>
      </c>
      <c r="D41" s="308" t="str">
        <f t="shared" ref="D41:D62" si="0">CONCATENATE(L56,"-",M56)</f>
        <v>24-Corn</v>
      </c>
      <c r="E41" s="309" t="str">
        <f t="shared" ref="E41:E62" si="1">CONCATENATE(P33,"-",Q33)</f>
        <v>-</v>
      </c>
      <c r="F41" s="300" t="s">
        <v>519</v>
      </c>
      <c r="H41" s="215" t="str">
        <f t="shared" ref="H41:H62" si="2">CONCATENATE(L78,"-",M78)</f>
        <v>46-Soybeans</v>
      </c>
      <c r="I41" s="215" t="str">
        <f>CONCATENATE(T33,"-",U33)</f>
        <v>-</v>
      </c>
      <c r="L41" s="27">
        <v>9</v>
      </c>
      <c r="M41" s="27" t="s">
        <v>587</v>
      </c>
      <c r="N41" s="27" t="s">
        <v>519</v>
      </c>
    </row>
    <row r="42" spans="1:14" x14ac:dyDescent="0.2">
      <c r="A42" s="215" t="str">
        <f t="shared" ref="A42:A63" si="3">CONCATENATE(L34,"-",M34)</f>
        <v>2-Alfalfa</v>
      </c>
      <c r="B42" s="214" t="s">
        <v>519</v>
      </c>
      <c r="D42" s="308" t="str">
        <f t="shared" si="0"/>
        <v>25-Corn</v>
      </c>
      <c r="E42" s="309" t="str">
        <f t="shared" si="1"/>
        <v>-</v>
      </c>
      <c r="F42" s="214" t="s">
        <v>519</v>
      </c>
      <c r="H42" s="215" t="str">
        <f t="shared" si="2"/>
        <v>47-Soybeans</v>
      </c>
      <c r="I42" s="214" t="s">
        <v>519</v>
      </c>
      <c r="L42" s="27">
        <v>10</v>
      </c>
      <c r="M42" s="27" t="s">
        <v>587</v>
      </c>
      <c r="N42" s="27" t="s">
        <v>519</v>
      </c>
    </row>
    <row r="43" spans="1:14" x14ac:dyDescent="0.2">
      <c r="A43" s="215" t="str">
        <f t="shared" si="3"/>
        <v>3-Alfalfa</v>
      </c>
      <c r="B43" s="214" t="s">
        <v>519</v>
      </c>
      <c r="D43" s="308" t="str">
        <f t="shared" si="0"/>
        <v>26-Corn</v>
      </c>
      <c r="E43" s="309" t="str">
        <f t="shared" si="1"/>
        <v>-</v>
      </c>
      <c r="F43" s="214" t="s">
        <v>519</v>
      </c>
      <c r="H43" s="215" t="str">
        <f t="shared" si="2"/>
        <v>48-Soybeans</v>
      </c>
      <c r="I43" s="214" t="s">
        <v>519</v>
      </c>
      <c r="L43" s="27">
        <v>11</v>
      </c>
      <c r="M43" s="27" t="s">
        <v>587</v>
      </c>
      <c r="N43" s="27" t="s">
        <v>519</v>
      </c>
    </row>
    <row r="44" spans="1:14" x14ac:dyDescent="0.2">
      <c r="A44" s="215" t="str">
        <f t="shared" si="3"/>
        <v>4-Alfalfa</v>
      </c>
      <c r="B44" s="214" t="s">
        <v>519</v>
      </c>
      <c r="D44" s="308" t="str">
        <f t="shared" si="0"/>
        <v>27-Corn</v>
      </c>
      <c r="E44" s="309" t="str">
        <f t="shared" si="1"/>
        <v>-</v>
      </c>
      <c r="F44" s="214" t="s">
        <v>519</v>
      </c>
      <c r="H44" s="215" t="str">
        <f t="shared" si="2"/>
        <v>49-Soybeans</v>
      </c>
      <c r="I44" s="214" t="s">
        <v>519</v>
      </c>
      <c r="L44" s="27">
        <v>12</v>
      </c>
      <c r="M44" s="27" t="s">
        <v>587</v>
      </c>
      <c r="N44" s="27" t="s">
        <v>519</v>
      </c>
    </row>
    <row r="45" spans="1:14" x14ac:dyDescent="0.2">
      <c r="A45" s="215" t="str">
        <f t="shared" si="3"/>
        <v>5-Alfalfa</v>
      </c>
      <c r="B45" s="214" t="s">
        <v>519</v>
      </c>
      <c r="D45" s="308" t="str">
        <f t="shared" si="0"/>
        <v>28-Corn</v>
      </c>
      <c r="E45" s="309" t="str">
        <f t="shared" si="1"/>
        <v>-</v>
      </c>
      <c r="F45" s="214" t="s">
        <v>519</v>
      </c>
      <c r="H45" s="215" t="str">
        <f t="shared" si="2"/>
        <v>50-Soybeans</v>
      </c>
      <c r="I45" s="214" t="s">
        <v>519</v>
      </c>
      <c r="L45" s="27">
        <v>13</v>
      </c>
      <c r="M45" s="27" t="s">
        <v>587</v>
      </c>
      <c r="N45" s="27" t="s">
        <v>519</v>
      </c>
    </row>
    <row r="46" spans="1:14" x14ac:dyDescent="0.2">
      <c r="A46" s="215" t="str">
        <f t="shared" si="3"/>
        <v>6-Alfalfa</v>
      </c>
      <c r="B46" s="214" t="s">
        <v>519</v>
      </c>
      <c r="D46" s="308" t="str">
        <f t="shared" si="0"/>
        <v>29-Corn</v>
      </c>
      <c r="E46" s="309" t="str">
        <f t="shared" si="1"/>
        <v>-</v>
      </c>
      <c r="F46" s="214" t="s">
        <v>519</v>
      </c>
      <c r="H46" s="215" t="str">
        <f t="shared" si="2"/>
        <v>51-Soybeans</v>
      </c>
      <c r="I46" s="214" t="s">
        <v>519</v>
      </c>
      <c r="L46" s="27">
        <v>14</v>
      </c>
      <c r="M46" s="27" t="s">
        <v>587</v>
      </c>
      <c r="N46" s="27" t="s">
        <v>519</v>
      </c>
    </row>
    <row r="47" spans="1:14" x14ac:dyDescent="0.2">
      <c r="A47" s="215" t="str">
        <f t="shared" si="3"/>
        <v>7-Alfalfa</v>
      </c>
      <c r="B47" s="214" t="s">
        <v>519</v>
      </c>
      <c r="D47" s="308" t="str">
        <f t="shared" si="0"/>
        <v>30-Dry Beans</v>
      </c>
      <c r="E47" s="309" t="str">
        <f t="shared" si="1"/>
        <v>-</v>
      </c>
      <c r="F47" s="214" t="s">
        <v>519</v>
      </c>
      <c r="H47" s="215" t="str">
        <f t="shared" si="2"/>
        <v>52-Soybeans</v>
      </c>
      <c r="I47" s="214" t="s">
        <v>519</v>
      </c>
      <c r="L47" s="27">
        <v>15</v>
      </c>
      <c r="M47" s="27" t="s">
        <v>23</v>
      </c>
      <c r="N47" s="27" t="s">
        <v>520</v>
      </c>
    </row>
    <row r="48" spans="1:14" x14ac:dyDescent="0.2">
      <c r="A48" s="215" t="str">
        <f t="shared" si="3"/>
        <v>8-Alfalfa</v>
      </c>
      <c r="B48" s="214" t="s">
        <v>519</v>
      </c>
      <c r="D48" s="308" t="str">
        <f t="shared" si="0"/>
        <v>31-Dry Beans</v>
      </c>
      <c r="E48" s="309" t="str">
        <f t="shared" si="1"/>
        <v>-</v>
      </c>
      <c r="F48" s="214" t="s">
        <v>519</v>
      </c>
      <c r="H48" s="215" t="str">
        <f t="shared" si="2"/>
        <v>53-Soybeans</v>
      </c>
      <c r="I48" s="214" t="s">
        <v>519</v>
      </c>
      <c r="L48" s="27">
        <v>16</v>
      </c>
      <c r="M48" s="27" t="s">
        <v>23</v>
      </c>
      <c r="N48" s="27" t="s">
        <v>520</v>
      </c>
    </row>
    <row r="49" spans="1:14" x14ac:dyDescent="0.2">
      <c r="A49" s="215" t="str">
        <f t="shared" si="3"/>
        <v>9-Alfalfa</v>
      </c>
      <c r="B49" s="214" t="s">
        <v>520</v>
      </c>
      <c r="D49" s="308" t="str">
        <f t="shared" si="0"/>
        <v>32-Dry Beans</v>
      </c>
      <c r="E49" s="309" t="str">
        <f t="shared" si="1"/>
        <v>-</v>
      </c>
      <c r="F49" s="214" t="s">
        <v>520</v>
      </c>
      <c r="H49" s="215" t="str">
        <f t="shared" si="2"/>
        <v>54-Sugar Beets</v>
      </c>
      <c r="I49" s="214" t="s">
        <v>520</v>
      </c>
      <c r="L49" s="27">
        <v>17</v>
      </c>
      <c r="M49" s="27" t="s">
        <v>23</v>
      </c>
      <c r="N49" s="27" t="s">
        <v>520</v>
      </c>
    </row>
    <row r="50" spans="1:14" x14ac:dyDescent="0.2">
      <c r="A50" s="215" t="str">
        <f t="shared" si="3"/>
        <v>10-Alfalfa</v>
      </c>
      <c r="B50" s="214" t="s">
        <v>520</v>
      </c>
      <c r="D50" s="308" t="str">
        <f t="shared" si="0"/>
        <v>33-Dry Beans</v>
      </c>
      <c r="E50" s="309" t="str">
        <f t="shared" si="1"/>
        <v>-</v>
      </c>
      <c r="F50" s="214" t="s">
        <v>520</v>
      </c>
      <c r="H50" s="215" t="str">
        <f t="shared" si="2"/>
        <v>55-Sugar Beets</v>
      </c>
      <c r="I50" s="214" t="s">
        <v>520</v>
      </c>
      <c r="L50" s="27">
        <v>18</v>
      </c>
      <c r="M50" s="27" t="s">
        <v>23</v>
      </c>
      <c r="N50" s="27" t="s">
        <v>520</v>
      </c>
    </row>
    <row r="51" spans="1:14" x14ac:dyDescent="0.2">
      <c r="A51" s="215" t="str">
        <f t="shared" si="3"/>
        <v>11-Alfalfa</v>
      </c>
      <c r="B51" s="214" t="s">
        <v>520</v>
      </c>
      <c r="D51" s="308" t="str">
        <f t="shared" si="0"/>
        <v>34-Grain Sorghum</v>
      </c>
      <c r="E51" s="309" t="str">
        <f t="shared" si="1"/>
        <v>-</v>
      </c>
      <c r="F51" s="214" t="s">
        <v>520</v>
      </c>
      <c r="H51" s="215" t="str">
        <f t="shared" si="2"/>
        <v>56-Sugar Beets</v>
      </c>
      <c r="I51" s="214" t="s">
        <v>520</v>
      </c>
      <c r="L51" s="27">
        <v>19</v>
      </c>
      <c r="M51" s="27" t="s">
        <v>23</v>
      </c>
      <c r="N51" s="27" t="s">
        <v>525</v>
      </c>
    </row>
    <row r="52" spans="1:14" x14ac:dyDescent="0.2">
      <c r="A52" s="215" t="str">
        <f t="shared" si="3"/>
        <v>12-Alfalfa</v>
      </c>
      <c r="B52" s="214" t="s">
        <v>520</v>
      </c>
      <c r="D52" s="308" t="str">
        <f t="shared" si="0"/>
        <v>35-Grain Sorghum</v>
      </c>
      <c r="E52" s="309" t="str">
        <f t="shared" si="1"/>
        <v>-</v>
      </c>
      <c r="F52" s="214" t="s">
        <v>520</v>
      </c>
      <c r="H52" s="215" t="str">
        <f t="shared" si="2"/>
        <v>57-Sugar Beets</v>
      </c>
      <c r="I52" s="214" t="s">
        <v>520</v>
      </c>
      <c r="L52" s="27">
        <v>20</v>
      </c>
      <c r="M52" s="27" t="s">
        <v>23</v>
      </c>
      <c r="N52" s="27" t="s">
        <v>520</v>
      </c>
    </row>
    <row r="53" spans="1:14" x14ac:dyDescent="0.2">
      <c r="A53" s="215" t="str">
        <f t="shared" si="3"/>
        <v>13-Alfalfa</v>
      </c>
      <c r="B53" s="214" t="s">
        <v>520</v>
      </c>
      <c r="D53" s="308" t="str">
        <f t="shared" si="0"/>
        <v>36-Grain Sorghum</v>
      </c>
      <c r="E53" s="309" t="str">
        <f t="shared" si="1"/>
        <v>-</v>
      </c>
      <c r="F53" s="214" t="s">
        <v>520</v>
      </c>
      <c r="H53" s="215" t="str">
        <f t="shared" si="2"/>
        <v>58-Sunflower</v>
      </c>
      <c r="I53" s="214" t="s">
        <v>520</v>
      </c>
      <c r="L53" s="27">
        <v>21</v>
      </c>
      <c r="M53" s="27" t="s">
        <v>23</v>
      </c>
      <c r="N53" s="27" t="s">
        <v>520</v>
      </c>
    </row>
    <row r="54" spans="1:14" x14ac:dyDescent="0.2">
      <c r="A54" s="215" t="str">
        <f t="shared" si="3"/>
        <v>14-Alfalfa</v>
      </c>
      <c r="B54" s="214" t="s">
        <v>520</v>
      </c>
      <c r="D54" s="308" t="str">
        <f t="shared" si="0"/>
        <v>37-Grain Sorghum</v>
      </c>
      <c r="E54" s="309" t="str">
        <f t="shared" si="1"/>
        <v>-</v>
      </c>
      <c r="F54" s="214" t="s">
        <v>520</v>
      </c>
      <c r="H54" s="215" t="str">
        <f t="shared" si="2"/>
        <v>59-Sunflower</v>
      </c>
      <c r="I54" s="214" t="s">
        <v>520</v>
      </c>
      <c r="L54" s="27">
        <v>22</v>
      </c>
      <c r="M54" s="27" t="s">
        <v>23</v>
      </c>
      <c r="N54" s="27" t="s">
        <v>520</v>
      </c>
    </row>
    <row r="55" spans="1:14" x14ac:dyDescent="0.2">
      <c r="A55" s="215" t="str">
        <f t="shared" si="3"/>
        <v>15-Corn</v>
      </c>
      <c r="B55" s="214" t="s">
        <v>520</v>
      </c>
      <c r="D55" s="308" t="str">
        <f t="shared" si="0"/>
        <v>38-Grass</v>
      </c>
      <c r="E55" s="309" t="str">
        <f t="shared" si="1"/>
        <v>-</v>
      </c>
      <c r="F55" s="214" t="s">
        <v>520</v>
      </c>
      <c r="H55" s="215" t="str">
        <f t="shared" si="2"/>
        <v>60-Sunflower</v>
      </c>
      <c r="I55" s="214" t="s">
        <v>520</v>
      </c>
      <c r="L55" s="27">
        <v>23</v>
      </c>
      <c r="M55" s="27" t="s">
        <v>23</v>
      </c>
      <c r="N55" s="27" t="s">
        <v>520</v>
      </c>
    </row>
    <row r="56" spans="1:14" x14ac:dyDescent="0.2">
      <c r="A56" s="215" t="str">
        <f t="shared" si="3"/>
        <v>16-Corn</v>
      </c>
      <c r="B56" s="214" t="s">
        <v>520</v>
      </c>
      <c r="D56" s="308" t="str">
        <f t="shared" si="0"/>
        <v>39-Grass Hay</v>
      </c>
      <c r="E56" s="309" t="str">
        <f t="shared" si="1"/>
        <v>-</v>
      </c>
      <c r="F56" s="214" t="s">
        <v>520</v>
      </c>
      <c r="H56" s="215" t="str">
        <f t="shared" si="2"/>
        <v>61-Wheat</v>
      </c>
      <c r="I56" s="214" t="s">
        <v>520</v>
      </c>
      <c r="L56" s="27">
        <v>24</v>
      </c>
      <c r="M56" s="27" t="s">
        <v>23</v>
      </c>
      <c r="N56" s="27" t="s">
        <v>520</v>
      </c>
    </row>
    <row r="57" spans="1:14" x14ac:dyDescent="0.2">
      <c r="A57" s="215" t="str">
        <f t="shared" si="3"/>
        <v>17-Corn</v>
      </c>
      <c r="B57" s="214" t="s">
        <v>520</v>
      </c>
      <c r="D57" s="308" t="str">
        <f t="shared" si="0"/>
        <v>40-Millet</v>
      </c>
      <c r="E57" s="309" t="str">
        <f t="shared" si="1"/>
        <v>-</v>
      </c>
      <c r="F57" s="214" t="s">
        <v>520</v>
      </c>
      <c r="H57" s="215" t="str">
        <f t="shared" si="2"/>
        <v>62-Wheat</v>
      </c>
      <c r="I57" s="214" t="s">
        <v>520</v>
      </c>
      <c r="L57" s="27">
        <v>25</v>
      </c>
      <c r="M57" s="27" t="s">
        <v>23</v>
      </c>
      <c r="N57" s="27" t="s">
        <v>520</v>
      </c>
    </row>
    <row r="58" spans="1:14" x14ac:dyDescent="0.2">
      <c r="A58" s="215" t="str">
        <f t="shared" si="3"/>
        <v>18-Corn</v>
      </c>
      <c r="B58" s="214" t="s">
        <v>520</v>
      </c>
      <c r="D58" s="308" t="str">
        <f t="shared" si="0"/>
        <v>41-Millet</v>
      </c>
      <c r="E58" s="309" t="str">
        <f t="shared" si="1"/>
        <v>-</v>
      </c>
      <c r="F58" s="214" t="s">
        <v>520</v>
      </c>
      <c r="H58" s="215" t="str">
        <f t="shared" si="2"/>
        <v>63-Wheat</v>
      </c>
      <c r="I58" s="214" t="s">
        <v>520</v>
      </c>
      <c r="L58" s="27">
        <v>26</v>
      </c>
      <c r="M58" s="27" t="s">
        <v>23</v>
      </c>
      <c r="N58" s="27" t="s">
        <v>520</v>
      </c>
    </row>
    <row r="59" spans="1:14" x14ac:dyDescent="0.2">
      <c r="A59" s="215" t="str">
        <f t="shared" si="3"/>
        <v>19-Corn</v>
      </c>
      <c r="B59" s="214" t="s">
        <v>520</v>
      </c>
      <c r="D59" s="308" t="str">
        <f t="shared" si="0"/>
        <v>42-Oats</v>
      </c>
      <c r="E59" s="309" t="str">
        <f t="shared" si="1"/>
        <v>-</v>
      </c>
      <c r="F59" s="214" t="s">
        <v>520</v>
      </c>
      <c r="H59" s="215" t="str">
        <f t="shared" si="2"/>
        <v>64-Wheat</v>
      </c>
      <c r="I59" s="214" t="s">
        <v>520</v>
      </c>
      <c r="L59" s="27">
        <v>27</v>
      </c>
      <c r="M59" s="27" t="s">
        <v>23</v>
      </c>
      <c r="N59" s="27" t="s">
        <v>520</v>
      </c>
    </row>
    <row r="60" spans="1:14" x14ac:dyDescent="0.2">
      <c r="A60" s="215" t="str">
        <f t="shared" si="3"/>
        <v>20-Corn</v>
      </c>
      <c r="B60" s="214" t="s">
        <v>520</v>
      </c>
      <c r="D60" s="308" t="str">
        <f t="shared" si="0"/>
        <v>43-Pasture</v>
      </c>
      <c r="E60" s="309" t="str">
        <f t="shared" si="1"/>
        <v>-</v>
      </c>
      <c r="F60" s="214" t="s">
        <v>520</v>
      </c>
      <c r="H60" s="215" t="str">
        <f t="shared" si="2"/>
        <v>65-Wheat</v>
      </c>
      <c r="I60" s="214" t="s">
        <v>520</v>
      </c>
      <c r="L60" s="27">
        <v>28</v>
      </c>
      <c r="M60" s="27" t="s">
        <v>23</v>
      </c>
      <c r="N60" s="27" t="s">
        <v>520</v>
      </c>
    </row>
    <row r="61" spans="1:14" x14ac:dyDescent="0.2">
      <c r="A61" s="215" t="str">
        <f t="shared" si="3"/>
        <v>21-Corn</v>
      </c>
      <c r="B61" s="214" t="s">
        <v>521</v>
      </c>
      <c r="D61" s="308" t="str">
        <f t="shared" si="0"/>
        <v>44-Peas</v>
      </c>
      <c r="E61" s="309" t="str">
        <f t="shared" si="1"/>
        <v>-</v>
      </c>
      <c r="F61" s="214" t="s">
        <v>521</v>
      </c>
      <c r="H61" s="215" t="str">
        <f t="shared" si="2"/>
        <v>66-Wheat</v>
      </c>
      <c r="I61" s="214" t="s">
        <v>521</v>
      </c>
      <c r="L61" s="27">
        <v>29</v>
      </c>
      <c r="M61" s="27" t="s">
        <v>23</v>
      </c>
      <c r="N61" s="27" t="s">
        <v>520</v>
      </c>
    </row>
    <row r="62" spans="1:14" x14ac:dyDescent="0.2">
      <c r="A62" s="215" t="str">
        <f t="shared" si="3"/>
        <v>22-Corn</v>
      </c>
      <c r="B62" s="214" t="s">
        <v>521</v>
      </c>
      <c r="D62" s="308" t="str">
        <f t="shared" si="0"/>
        <v>45-Sorghum-Sudan</v>
      </c>
      <c r="E62" s="309" t="str">
        <f t="shared" si="1"/>
        <v>-</v>
      </c>
      <c r="F62" s="214" t="s">
        <v>521</v>
      </c>
      <c r="H62" s="215" t="str">
        <f t="shared" si="2"/>
        <v>67-Wheat</v>
      </c>
      <c r="I62" s="214" t="s">
        <v>521</v>
      </c>
      <c r="L62" s="27">
        <v>30</v>
      </c>
      <c r="M62" s="27" t="s">
        <v>588</v>
      </c>
      <c r="N62" s="27" t="s">
        <v>521</v>
      </c>
    </row>
    <row r="63" spans="1:14" x14ac:dyDescent="0.2">
      <c r="A63" s="215" t="str">
        <f t="shared" si="3"/>
        <v>23-Corn</v>
      </c>
      <c r="B63" s="214" t="s">
        <v>521</v>
      </c>
      <c r="L63" s="27">
        <v>31</v>
      </c>
      <c r="M63" s="27" t="s">
        <v>588</v>
      </c>
      <c r="N63" s="27" t="s">
        <v>521</v>
      </c>
    </row>
    <row r="64" spans="1:14" x14ac:dyDescent="0.2">
      <c r="L64" s="27">
        <v>32</v>
      </c>
      <c r="M64" s="27" t="s">
        <v>588</v>
      </c>
      <c r="N64" s="27" t="s">
        <v>521</v>
      </c>
    </row>
    <row r="65" spans="12:14" x14ac:dyDescent="0.2">
      <c r="L65" s="27">
        <v>33</v>
      </c>
      <c r="M65" s="27" t="s">
        <v>588</v>
      </c>
      <c r="N65" s="27" t="s">
        <v>521</v>
      </c>
    </row>
    <row r="66" spans="12:14" x14ac:dyDescent="0.2">
      <c r="L66" s="27">
        <v>34</v>
      </c>
      <c r="M66" s="27" t="s">
        <v>589</v>
      </c>
      <c r="N66" s="27" t="s">
        <v>522</v>
      </c>
    </row>
    <row r="67" spans="12:14" x14ac:dyDescent="0.2">
      <c r="L67" s="27">
        <v>35</v>
      </c>
      <c r="M67" s="27" t="s">
        <v>589</v>
      </c>
      <c r="N67" s="27" t="s">
        <v>522</v>
      </c>
    </row>
    <row r="68" spans="12:14" x14ac:dyDescent="0.2">
      <c r="L68" s="27">
        <v>36</v>
      </c>
      <c r="M68" s="27" t="s">
        <v>589</v>
      </c>
      <c r="N68" s="27" t="s">
        <v>522</v>
      </c>
    </row>
    <row r="69" spans="12:14" x14ac:dyDescent="0.2">
      <c r="L69" s="27">
        <v>37</v>
      </c>
      <c r="M69" s="27" t="s">
        <v>589</v>
      </c>
      <c r="N69" s="27" t="s">
        <v>522</v>
      </c>
    </row>
    <row r="70" spans="12:14" x14ac:dyDescent="0.2">
      <c r="L70" s="27">
        <v>38</v>
      </c>
      <c r="M70" s="27" t="s">
        <v>590</v>
      </c>
      <c r="N70" s="27" t="s">
        <v>519</v>
      </c>
    </row>
    <row r="71" spans="12:14" x14ac:dyDescent="0.2">
      <c r="L71" s="27">
        <v>39</v>
      </c>
      <c r="M71" s="27" t="s">
        <v>591</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592</v>
      </c>
      <c r="N75" s="27" t="s">
        <v>519</v>
      </c>
    </row>
    <row r="76" spans="12:14" x14ac:dyDescent="0.2">
      <c r="L76" s="27">
        <v>44</v>
      </c>
      <c r="M76" s="27" t="s">
        <v>560</v>
      </c>
      <c r="N76" s="27" t="s">
        <v>519</v>
      </c>
    </row>
    <row r="77" spans="12:14" x14ac:dyDescent="0.2">
      <c r="L77" s="27">
        <v>45</v>
      </c>
      <c r="M77" s="27" t="s">
        <v>593</v>
      </c>
      <c r="N77" s="27" t="s">
        <v>519</v>
      </c>
    </row>
    <row r="78" spans="12:14" x14ac:dyDescent="0.2">
      <c r="L78" s="27">
        <v>46</v>
      </c>
      <c r="M78" s="27" t="s">
        <v>594</v>
      </c>
      <c r="N78" s="27" t="s">
        <v>520</v>
      </c>
    </row>
    <row r="79" spans="12:14" x14ac:dyDescent="0.2">
      <c r="L79" s="27">
        <v>47</v>
      </c>
      <c r="M79" s="27" t="s">
        <v>594</v>
      </c>
      <c r="N79" s="27" t="s">
        <v>520</v>
      </c>
    </row>
    <row r="80" spans="12:14" x14ac:dyDescent="0.2">
      <c r="L80" s="27">
        <v>48</v>
      </c>
      <c r="M80" s="27" t="s">
        <v>594</v>
      </c>
      <c r="N80" s="27" t="s">
        <v>520</v>
      </c>
    </row>
    <row r="81" spans="12:14" x14ac:dyDescent="0.2">
      <c r="L81" s="27">
        <v>49</v>
      </c>
      <c r="M81" s="27" t="s">
        <v>594</v>
      </c>
      <c r="N81" s="27" t="s">
        <v>520</v>
      </c>
    </row>
    <row r="82" spans="12:14" x14ac:dyDescent="0.2">
      <c r="L82" s="27">
        <v>50</v>
      </c>
      <c r="M82" s="27" t="s">
        <v>594</v>
      </c>
      <c r="N82" s="27" t="s">
        <v>520</v>
      </c>
    </row>
    <row r="83" spans="12:14" x14ac:dyDescent="0.2">
      <c r="L83" s="27">
        <v>51</v>
      </c>
      <c r="M83" s="27" t="s">
        <v>594</v>
      </c>
      <c r="N83" s="27" t="s">
        <v>520</v>
      </c>
    </row>
    <row r="84" spans="12:14" x14ac:dyDescent="0.2">
      <c r="L84" s="27">
        <v>52</v>
      </c>
      <c r="M84" s="27" t="s">
        <v>594</v>
      </c>
      <c r="N84" s="27" t="s">
        <v>520</v>
      </c>
    </row>
    <row r="85" spans="12:14" x14ac:dyDescent="0.2">
      <c r="L85" s="27">
        <v>53</v>
      </c>
      <c r="M85" s="27" t="s">
        <v>594</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595</v>
      </c>
      <c r="N93" s="27" t="s">
        <v>526</v>
      </c>
    </row>
    <row r="94" spans="12:14" x14ac:dyDescent="0.2">
      <c r="L94" s="27">
        <v>62</v>
      </c>
      <c r="M94" s="27" t="s">
        <v>595</v>
      </c>
      <c r="N94" s="27" t="s">
        <v>526</v>
      </c>
    </row>
    <row r="95" spans="12:14" x14ac:dyDescent="0.2">
      <c r="L95" s="27">
        <v>63</v>
      </c>
      <c r="M95" s="27" t="s">
        <v>595</v>
      </c>
      <c r="N95" s="27" t="s">
        <v>526</v>
      </c>
    </row>
    <row r="96" spans="12:14" x14ac:dyDescent="0.2">
      <c r="L96" s="27">
        <v>64</v>
      </c>
      <c r="M96" s="27" t="s">
        <v>595</v>
      </c>
      <c r="N96" s="27" t="s">
        <v>526</v>
      </c>
    </row>
    <row r="97" spans="12:14" x14ac:dyDescent="0.2">
      <c r="L97" s="27">
        <v>65</v>
      </c>
      <c r="M97" s="27" t="s">
        <v>595</v>
      </c>
      <c r="N97" s="27" t="s">
        <v>526</v>
      </c>
    </row>
    <row r="98" spans="12:14" x14ac:dyDescent="0.2">
      <c r="L98" s="27">
        <v>66</v>
      </c>
      <c r="M98" s="27" t="s">
        <v>595</v>
      </c>
      <c r="N98" s="27" t="s">
        <v>526</v>
      </c>
    </row>
    <row r="99" spans="12:14" x14ac:dyDescent="0.2">
      <c r="L99" s="27">
        <v>67</v>
      </c>
      <c r="M99" s="27" t="s">
        <v>595</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469</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470</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435</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471</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458</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10" t="s">
        <v>260</v>
      </c>
      <c r="AL1" s="310"/>
      <c r="AM1" s="310"/>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20" t="str">
        <f>IF(PowerUnits[[#This Row],[Name]]=0,"",PowerUnits[[#This Row],[Name]])</f>
        <v>Large Tractor</v>
      </c>
    </row>
    <row r="3" spans="1:41" ht="12.75" customHeight="1" x14ac:dyDescent="0.25">
      <c r="A3" s="137" t="s">
        <v>434</v>
      </c>
      <c r="B3" s="138" t="s">
        <v>72</v>
      </c>
      <c r="C3" s="139"/>
      <c r="D3" s="139"/>
      <c r="E3" s="140"/>
      <c r="F3" s="141"/>
      <c r="G3" s="139"/>
      <c r="H3" s="139"/>
      <c r="I3" s="145">
        <v>12</v>
      </c>
      <c r="J3" s="143">
        <v>1.1000000000000001</v>
      </c>
      <c r="K3" s="139" t="s">
        <v>470</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470</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438</v>
      </c>
      <c r="C5" s="139" t="s">
        <v>397</v>
      </c>
      <c r="D5" s="139" t="s">
        <v>356</v>
      </c>
      <c r="E5" s="140">
        <v>42000</v>
      </c>
      <c r="F5" s="141"/>
      <c r="G5" s="140">
        <v>5</v>
      </c>
      <c r="H5" s="140">
        <f>2000*220</f>
        <v>440000</v>
      </c>
      <c r="I5" s="147">
        <f>7*220</f>
        <v>1540</v>
      </c>
      <c r="J5" s="143">
        <v>1.1000000000000001</v>
      </c>
      <c r="K5" s="139" t="s">
        <v>470</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470</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470</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475</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479</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477</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580</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37" t="s">
        <v>557</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37" t="s">
        <v>563</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37" t="s">
        <v>447</v>
      </c>
      <c r="B19" s="138" t="s">
        <v>72</v>
      </c>
      <c r="C19" s="139" t="s">
        <v>337</v>
      </c>
      <c r="D19" s="139" t="s">
        <v>355</v>
      </c>
      <c r="E19" s="140">
        <v>29000</v>
      </c>
      <c r="F19" s="141"/>
      <c r="G19" s="140">
        <v>5</v>
      </c>
      <c r="H19" s="140">
        <v>300</v>
      </c>
      <c r="I19" s="145">
        <v>7.0212765957446823</v>
      </c>
      <c r="J19" s="143">
        <v>1.1000000000000001</v>
      </c>
      <c r="K19" s="139" t="s">
        <v>470</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469</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445</v>
      </c>
      <c r="C21" s="138"/>
      <c r="D21" s="138"/>
      <c r="E21" s="140"/>
      <c r="F21" s="141"/>
      <c r="G21" s="140">
        <v>5</v>
      </c>
      <c r="H21" s="140">
        <v>1000</v>
      </c>
      <c r="I21" s="145">
        <v>1.8</v>
      </c>
      <c r="J21" s="151">
        <v>0.1</v>
      </c>
      <c r="K21" s="139" t="s">
        <v>458</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470</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470</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531</v>
      </c>
      <c r="B24" s="138" t="s">
        <v>72</v>
      </c>
      <c r="C24" s="139" t="s">
        <v>340</v>
      </c>
      <c r="D24" s="139" t="s">
        <v>357</v>
      </c>
      <c r="E24" s="140">
        <v>62454</v>
      </c>
      <c r="F24" s="141"/>
      <c r="G24" s="140">
        <v>10</v>
      </c>
      <c r="H24" s="140">
        <v>1000</v>
      </c>
      <c r="I24" s="142">
        <v>11</v>
      </c>
      <c r="J24" s="143">
        <v>1.2</v>
      </c>
      <c r="K24" s="139" t="s">
        <v>470</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438</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469</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470</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470</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470</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470</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470</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470</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469</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470</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470</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470</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470</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445</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445</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546</v>
      </c>
      <c r="B40" s="138" t="s">
        <v>445</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445</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556</v>
      </c>
      <c r="B42" s="138" t="s">
        <v>445</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470</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470</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470</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548</v>
      </c>
      <c r="B46" s="138" t="s">
        <v>72</v>
      </c>
      <c r="C46" s="139" t="s">
        <v>550</v>
      </c>
      <c r="D46" s="139" t="s">
        <v>551</v>
      </c>
      <c r="E46" s="140">
        <v>14781</v>
      </c>
      <c r="F46" s="141"/>
      <c r="G46" s="140">
        <v>5</v>
      </c>
      <c r="H46" s="146">
        <v>1000</v>
      </c>
      <c r="I46" s="145">
        <v>7.5</v>
      </c>
      <c r="J46" s="143">
        <v>1.1000000000000001</v>
      </c>
      <c r="K46" s="139" t="s">
        <v>469</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598</v>
      </c>
      <c r="B47" s="138" t="s">
        <v>72</v>
      </c>
      <c r="C47" s="139" t="s">
        <v>343</v>
      </c>
      <c r="D47" s="139" t="s">
        <v>355</v>
      </c>
      <c r="E47" s="140">
        <v>29000</v>
      </c>
      <c r="F47" s="141">
        <v>4500</v>
      </c>
      <c r="G47" s="140">
        <v>5</v>
      </c>
      <c r="H47" s="140">
        <v>1000</v>
      </c>
      <c r="I47" s="145">
        <v>12</v>
      </c>
      <c r="J47" s="143">
        <v>1.1000000000000001</v>
      </c>
      <c r="K47" s="139" t="s">
        <v>470</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470</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470</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567</v>
      </c>
      <c r="B50" s="138" t="s">
        <v>72</v>
      </c>
      <c r="C50" s="139" t="s">
        <v>349</v>
      </c>
      <c r="D50" s="139" t="s">
        <v>355</v>
      </c>
      <c r="E50" s="149">
        <v>128418</v>
      </c>
      <c r="F50" s="141"/>
      <c r="G50" s="140">
        <v>5</v>
      </c>
      <c r="H50" s="140">
        <v>1500</v>
      </c>
      <c r="I50" s="145">
        <v>10</v>
      </c>
      <c r="J50" s="143">
        <v>1.2</v>
      </c>
      <c r="K50" s="139" t="s">
        <v>470</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470</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565</v>
      </c>
      <c r="B52" s="138" t="s">
        <v>72</v>
      </c>
      <c r="C52" s="139" t="s">
        <v>350</v>
      </c>
      <c r="D52" s="139" t="s">
        <v>355</v>
      </c>
      <c r="E52" s="140"/>
      <c r="F52" s="141">
        <v>7500</v>
      </c>
      <c r="G52" s="140">
        <v>5</v>
      </c>
      <c r="H52" s="140">
        <v>1000</v>
      </c>
      <c r="I52" s="145">
        <v>13.200000000000001</v>
      </c>
      <c r="J52" s="143">
        <v>1.2</v>
      </c>
      <c r="K52" s="139" t="s">
        <v>470</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470</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549</v>
      </c>
      <c r="B54" s="138" t="s">
        <v>72</v>
      </c>
      <c r="C54" s="139" t="s">
        <v>341</v>
      </c>
      <c r="D54" s="139" t="s">
        <v>355</v>
      </c>
      <c r="E54" s="149">
        <v>56958</v>
      </c>
      <c r="F54" s="141"/>
      <c r="G54" s="140">
        <v>5</v>
      </c>
      <c r="H54" s="140">
        <v>1000</v>
      </c>
      <c r="I54" s="145">
        <v>10</v>
      </c>
      <c r="J54" s="143">
        <v>1</v>
      </c>
      <c r="K54" s="139" t="s">
        <v>470</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470</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470</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470</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553</v>
      </c>
      <c r="B58" s="138" t="s">
        <v>72</v>
      </c>
      <c r="C58" s="139" t="s">
        <v>338</v>
      </c>
      <c r="D58" s="139" t="s">
        <v>355</v>
      </c>
      <c r="E58" s="140">
        <v>41688</v>
      </c>
      <c r="F58" s="141"/>
      <c r="G58" s="140">
        <v>5</v>
      </c>
      <c r="H58" s="140">
        <v>2000</v>
      </c>
      <c r="I58" s="145">
        <v>11</v>
      </c>
      <c r="J58" s="143">
        <v>1.3</v>
      </c>
      <c r="K58" s="139" t="s">
        <v>470</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552</v>
      </c>
      <c r="B59" s="138" t="s">
        <v>72</v>
      </c>
      <c r="C59" s="139" t="s">
        <v>337</v>
      </c>
      <c r="D59" s="139" t="s">
        <v>355</v>
      </c>
      <c r="E59" s="140">
        <v>58958</v>
      </c>
      <c r="F59" s="141"/>
      <c r="G59" s="140">
        <v>5</v>
      </c>
      <c r="H59" s="146">
        <v>2000</v>
      </c>
      <c r="I59" s="145">
        <v>15</v>
      </c>
      <c r="J59" s="143">
        <v>1.3</v>
      </c>
      <c r="K59" s="139" t="s">
        <v>470</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554</v>
      </c>
      <c r="B60" s="138" t="s">
        <v>72</v>
      </c>
      <c r="C60" s="139" t="s">
        <v>352</v>
      </c>
      <c r="D60" s="139" t="s">
        <v>356</v>
      </c>
      <c r="E60" s="140">
        <v>35000</v>
      </c>
      <c r="F60" s="141"/>
      <c r="G60" s="140">
        <v>5</v>
      </c>
      <c r="H60" s="140">
        <v>2500</v>
      </c>
      <c r="I60" s="147">
        <v>25</v>
      </c>
      <c r="J60" s="143">
        <v>1.25</v>
      </c>
      <c r="K60" s="139" t="s">
        <v>470</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566</v>
      </c>
      <c r="B61" s="138" t="s">
        <v>72</v>
      </c>
      <c r="C61" s="139" t="s">
        <v>353</v>
      </c>
      <c r="D61" s="139" t="s">
        <v>356</v>
      </c>
      <c r="E61" s="140">
        <v>35000</v>
      </c>
      <c r="F61" s="141"/>
      <c r="G61" s="140">
        <v>5</v>
      </c>
      <c r="H61" s="140">
        <v>1000</v>
      </c>
      <c r="I61" s="145">
        <v>25</v>
      </c>
      <c r="J61" s="143">
        <v>1.25</v>
      </c>
      <c r="K61" s="139" t="s">
        <v>470</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564</v>
      </c>
      <c r="B62" s="138" t="s">
        <v>72</v>
      </c>
      <c r="C62" s="139" t="s">
        <v>353</v>
      </c>
      <c r="D62" s="139" t="s">
        <v>356</v>
      </c>
      <c r="E62" s="140">
        <v>35000</v>
      </c>
      <c r="F62" s="141"/>
      <c r="G62" s="140">
        <v>5</v>
      </c>
      <c r="H62" s="140">
        <v>1000</v>
      </c>
      <c r="I62" s="145">
        <v>25</v>
      </c>
      <c r="J62" s="143">
        <v>1.25</v>
      </c>
      <c r="K62" s="139" t="s">
        <v>470</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470</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470</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516</v>
      </c>
      <c r="D66" s="139" t="s">
        <v>330</v>
      </c>
      <c r="E66" s="140">
        <v>13000</v>
      </c>
      <c r="F66" s="141"/>
      <c r="G66" s="140">
        <v>5</v>
      </c>
      <c r="H66" s="140">
        <v>1250</v>
      </c>
      <c r="I66" s="147">
        <v>10</v>
      </c>
      <c r="J66" s="143">
        <v>1</v>
      </c>
      <c r="K66" s="139" t="s">
        <v>470</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469</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469</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470</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469</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470</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582</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582</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8" t="s">
        <v>437</v>
      </c>
      <c r="B2" s="267"/>
      <c r="C2" s="266"/>
      <c r="D2" s="266"/>
      <c r="E2" s="267"/>
      <c r="F2" s="266"/>
      <c r="G2" s="266"/>
      <c r="H2" s="269" t="s">
        <v>86</v>
      </c>
      <c r="I2" s="267"/>
      <c r="J2" s="261"/>
      <c r="K2" s="262" t="str">
        <f>'General Variables'!A3&amp;" "&amp;'General Variables'!B3</f>
        <v>Year 2015</v>
      </c>
      <c r="O2" s="227" t="s">
        <v>460</v>
      </c>
    </row>
    <row r="3" spans="1:15" hidden="1" x14ac:dyDescent="0.2">
      <c r="A3" s="268" t="s">
        <v>79</v>
      </c>
      <c r="B3" s="267"/>
      <c r="C3" s="266"/>
      <c r="D3" s="266"/>
      <c r="E3" s="267"/>
      <c r="F3" s="266"/>
      <c r="G3" s="266"/>
      <c r="H3" s="270" t="s">
        <v>87</v>
      </c>
      <c r="I3" s="274" t="str">
        <f>IF(H3="","","acre-inches")</f>
        <v>acre-inches</v>
      </c>
      <c r="J3" s="261"/>
      <c r="K3" s="261"/>
      <c r="O3" s="227" t="s">
        <v>459</v>
      </c>
    </row>
    <row r="4" spans="1:15" hidden="1" x14ac:dyDescent="0.2">
      <c r="A4" s="268" t="s">
        <v>80</v>
      </c>
      <c r="B4" s="268" t="s">
        <v>78</v>
      </c>
      <c r="C4" s="266"/>
      <c r="D4" s="266"/>
      <c r="E4" s="267"/>
      <c r="F4" s="267"/>
      <c r="G4" s="267"/>
      <c r="H4" s="267"/>
      <c r="I4" s="267"/>
      <c r="J4" s="261"/>
      <c r="K4" s="261"/>
      <c r="O4" s="227" t="str">
        <f>B4</f>
        <v>Unit</v>
      </c>
    </row>
    <row r="5" spans="1:15" s="236"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3"/>
    </row>
    <row r="6" spans="1:15" s="236" customFormat="1" ht="15.75" x14ac:dyDescent="0.25">
      <c r="A6" s="256" t="str">
        <f>IF(H2="Dryland","Dryland",H2 &amp; ", " &amp; H3 &amp; " " &amp;I3)</f>
        <v>Water Source, Water Applied acre-inches</v>
      </c>
      <c r="B6" s="255"/>
      <c r="C6" s="265"/>
      <c r="D6" s="265"/>
      <c r="E6" s="254"/>
      <c r="F6" s="254"/>
      <c r="G6" s="254"/>
      <c r="H6" s="254"/>
      <c r="I6" s="254"/>
      <c r="J6" s="46" t="s">
        <v>572</v>
      </c>
      <c r="K6" s="293"/>
      <c r="O6" s="253"/>
    </row>
    <row r="8" spans="1:15" s="261" customFormat="1" ht="22.5" customHeight="1" x14ac:dyDescent="0.2">
      <c r="B8" s="322" t="s">
        <v>81</v>
      </c>
      <c r="C8" s="320" t="s">
        <v>1</v>
      </c>
      <c r="D8" s="294"/>
      <c r="E8" s="320" t="str">
        <f>"Labor @ $" &amp;TEXT('General Variables'!B4,"#.00")&amp; " /Hr"</f>
        <v>Labor @ $20.00 /Hr</v>
      </c>
      <c r="F8" s="320" t="str">
        <f>"Fuel @ $" &amp; TEXT('General Variables'!B5,"#.00") &amp; " and Lube"</f>
        <v>Fuel @ $3.25 and Lube</v>
      </c>
      <c r="G8" s="324" t="s">
        <v>82</v>
      </c>
      <c r="H8" s="324"/>
      <c r="I8" s="324" t="s">
        <v>381</v>
      </c>
      <c r="J8" s="324"/>
      <c r="K8" s="324" t="s">
        <v>2</v>
      </c>
      <c r="L8" s="320" t="s">
        <v>401</v>
      </c>
    </row>
    <row r="9" spans="1:15" s="261" customFormat="1" ht="17.25" customHeight="1" thickBot="1" x14ac:dyDescent="0.25">
      <c r="B9" s="323"/>
      <c r="C9" s="319"/>
      <c r="D9" s="295" t="s">
        <v>78</v>
      </c>
      <c r="E9" s="319"/>
      <c r="F9" s="319"/>
      <c r="G9" s="296" t="s">
        <v>83</v>
      </c>
      <c r="H9" s="296" t="s">
        <v>85</v>
      </c>
      <c r="I9" s="296" t="s">
        <v>83</v>
      </c>
      <c r="J9" s="296" t="s">
        <v>85</v>
      </c>
      <c r="K9" s="325"/>
      <c r="L9" s="319"/>
    </row>
    <row r="10" spans="1:15" ht="13.5" thickTop="1" x14ac:dyDescent="0.2">
      <c r="A10" s="297">
        <v>1</v>
      </c>
      <c r="B10" s="275"/>
      <c r="C10" s="271">
        <v>1</v>
      </c>
      <c r="D10" s="277"/>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7">
        <v>2</v>
      </c>
      <c r="B11" s="275"/>
      <c r="C11" s="271">
        <v>1</v>
      </c>
      <c r="D11" s="277"/>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7">
        <v>3</v>
      </c>
      <c r="B12" s="275"/>
      <c r="C12" s="271"/>
      <c r="D12" s="277"/>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7">
        <v>4</v>
      </c>
      <c r="B13" s="275"/>
      <c r="C13" s="271"/>
      <c r="D13" s="277"/>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7">
        <v>5</v>
      </c>
      <c r="B14" s="275"/>
      <c r="C14" s="271"/>
      <c r="D14" s="277"/>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7">
        <v>6</v>
      </c>
      <c r="B15" s="275"/>
      <c r="C15" s="271"/>
      <c r="D15" s="277"/>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7">
        <v>7</v>
      </c>
      <c r="B16" s="275"/>
      <c r="C16" s="271"/>
      <c r="D16" s="277"/>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7">
        <v>8</v>
      </c>
      <c r="B17" s="275"/>
      <c r="C17" s="271"/>
      <c r="D17" s="277"/>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7">
        <v>9</v>
      </c>
      <c r="B18" s="275"/>
      <c r="C18" s="271"/>
      <c r="D18" s="277"/>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7">
        <v>10</v>
      </c>
      <c r="B19" s="275"/>
      <c r="C19" s="271"/>
      <c r="D19" s="277"/>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7">
        <v>11</v>
      </c>
      <c r="B20" s="275"/>
      <c r="C20" s="271"/>
      <c r="D20" s="277"/>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7">
        <v>12</v>
      </c>
      <c r="B21" s="275"/>
      <c r="C21" s="271"/>
      <c r="D21" s="277"/>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7">
        <v>13</v>
      </c>
      <c r="B22" s="275"/>
      <c r="C22" s="271"/>
      <c r="D22" s="277"/>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7">
        <v>14</v>
      </c>
      <c r="B23" s="276"/>
      <c r="C23" s="272"/>
      <c r="D23" s="277"/>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7">
        <v>15</v>
      </c>
      <c r="B24" s="276"/>
      <c r="C24" s="272"/>
      <c r="D24" s="277"/>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7">
        <v>16</v>
      </c>
      <c r="B25" s="276"/>
      <c r="C25" s="272"/>
      <c r="D25" s="277"/>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7">
        <v>17</v>
      </c>
      <c r="B26" s="276"/>
      <c r="C26" s="272"/>
      <c r="D26" s="277"/>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7">
        <v>18</v>
      </c>
      <c r="B27" s="276"/>
      <c r="C27" s="272"/>
      <c r="D27" s="277"/>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7">
        <v>19</v>
      </c>
      <c r="B28" s="276"/>
      <c r="C28" s="272"/>
      <c r="D28" s="277"/>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7">
        <v>20</v>
      </c>
      <c r="B29" s="276"/>
      <c r="C29" s="272"/>
      <c r="D29" s="277"/>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6"/>
    </row>
    <row r="30" spans="1:12" ht="3" customHeight="1" thickBot="1" x14ac:dyDescent="0.25">
      <c r="A30" s="297"/>
      <c r="B30" s="249"/>
      <c r="C30" s="250"/>
      <c r="D30" s="250"/>
      <c r="E30" s="222"/>
      <c r="F30" s="222"/>
      <c r="G30" s="222"/>
      <c r="H30" s="222"/>
      <c r="I30" s="222"/>
      <c r="J30" s="222"/>
      <c r="K30" s="222"/>
      <c r="L30" s="246"/>
    </row>
    <row r="31" spans="1:12" ht="13.5" thickTop="1" x14ac:dyDescent="0.2">
      <c r="C31" s="219" t="s">
        <v>84</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6"/>
      <c r="C33" s="266"/>
      <c r="D33" s="266"/>
      <c r="E33" s="266"/>
      <c r="F33" s="319" t="s">
        <v>98</v>
      </c>
      <c r="G33" s="319" t="s">
        <v>95</v>
      </c>
      <c r="H33" s="320" t="s">
        <v>99</v>
      </c>
      <c r="I33" s="320"/>
      <c r="J33" s="319" t="s">
        <v>70</v>
      </c>
      <c r="L33" s="320" t="s">
        <v>401</v>
      </c>
    </row>
    <row r="34" spans="1:12" s="221" customFormat="1" ht="14.25" thickTop="1" thickBot="1" x14ac:dyDescent="0.25">
      <c r="B34" s="220" t="s">
        <v>94</v>
      </c>
      <c r="C34" s="295"/>
      <c r="D34" s="295"/>
      <c r="E34" s="295"/>
      <c r="F34" s="319"/>
      <c r="G34" s="319"/>
      <c r="H34" s="295" t="s">
        <v>100</v>
      </c>
      <c r="I34" s="295" t="s">
        <v>78</v>
      </c>
      <c r="J34" s="319"/>
      <c r="K34" s="295" t="s">
        <v>96</v>
      </c>
      <c r="L34" s="319"/>
    </row>
    <row r="35" spans="1:12" ht="13.5" thickTop="1" x14ac:dyDescent="0.2">
      <c r="A35" s="229"/>
      <c r="B35" s="275"/>
      <c r="C35" s="317" t="str">
        <f>IF(B35=0,"",VLOOKUP($B35,Materials[],2,FALSE))</f>
        <v/>
      </c>
      <c r="D35" s="317"/>
      <c r="E35" s="317"/>
      <c r="F35" s="271"/>
      <c r="G35" s="273"/>
      <c r="H35" s="288"/>
      <c r="I35" s="223" t="str">
        <f>IF($B35=0,"",VLOOKUP($B35,Materials[],5,FALSE))</f>
        <v/>
      </c>
      <c r="J35" s="225" t="str">
        <f>IF($B35=0,"",VLOOKUP($B35,Materials[],7,FALSE))</f>
        <v/>
      </c>
      <c r="K35" s="257">
        <f>IF(B35=0,0,ROUND(G35*H35*J35,2))</f>
        <v>0</v>
      </c>
      <c r="L35" s="230"/>
    </row>
    <row r="36" spans="1:12" x14ac:dyDescent="0.2">
      <c r="A36" s="229"/>
      <c r="B36" s="275"/>
      <c r="C36" s="317" t="str">
        <f>IF(B36=0,"",VLOOKUP($B36,Materials[],2,FALSE))</f>
        <v/>
      </c>
      <c r="D36" s="317"/>
      <c r="E36" s="317"/>
      <c r="F36" s="271"/>
      <c r="G36" s="273"/>
      <c r="H36" s="288"/>
      <c r="I36" s="223" t="str">
        <f>IF($B36=0,"",VLOOKUP($B36,Materials[],5,FALSE))</f>
        <v/>
      </c>
      <c r="J36" s="225" t="str">
        <f>IF($B36=0,"",VLOOKUP($B36,Materials[],7,FALSE))</f>
        <v/>
      </c>
      <c r="K36" s="257">
        <f t="shared" ref="K36:K53" si="2">IF(B36=0,0,ROUND(G36*H36*J36,2))</f>
        <v>0</v>
      </c>
      <c r="L36" s="230"/>
    </row>
    <row r="37" spans="1:12" x14ac:dyDescent="0.2">
      <c r="A37" s="229"/>
      <c r="B37" s="275"/>
      <c r="C37" s="317" t="str">
        <f>IF(B37=0,"",VLOOKUP($B37,Materials[],2,FALSE))</f>
        <v/>
      </c>
      <c r="D37" s="317"/>
      <c r="E37" s="317"/>
      <c r="F37" s="271"/>
      <c r="G37" s="273"/>
      <c r="H37" s="288"/>
      <c r="I37" s="223" t="str">
        <f>IF($B37=0,"",VLOOKUP($B37,Materials[],5,FALSE))</f>
        <v/>
      </c>
      <c r="J37" s="225" t="str">
        <f>IF($B37=0,"",VLOOKUP($B37,Materials[],7,FALSE))</f>
        <v/>
      </c>
      <c r="K37" s="257">
        <f t="shared" si="2"/>
        <v>0</v>
      </c>
      <c r="L37" s="230"/>
    </row>
    <row r="38" spans="1:12" x14ac:dyDescent="0.2">
      <c r="A38" s="229"/>
      <c r="B38" s="275"/>
      <c r="C38" s="317" t="str">
        <f>IF(B38=0,"",VLOOKUP($B38,Materials[],2,FALSE))</f>
        <v/>
      </c>
      <c r="D38" s="317"/>
      <c r="E38" s="317"/>
      <c r="F38" s="271"/>
      <c r="G38" s="273"/>
      <c r="H38" s="288"/>
      <c r="I38" s="223" t="str">
        <f>IF($B38=0,"",VLOOKUP($B38,Materials[],5,FALSE))</f>
        <v/>
      </c>
      <c r="J38" s="225" t="str">
        <f>IF($B38=0,"",VLOOKUP($B38,Materials[],7,FALSE))</f>
        <v/>
      </c>
      <c r="K38" s="257">
        <f t="shared" si="2"/>
        <v>0</v>
      </c>
      <c r="L38" s="230"/>
    </row>
    <row r="39" spans="1:12" x14ac:dyDescent="0.2">
      <c r="A39" s="229"/>
      <c r="B39" s="275"/>
      <c r="C39" s="317" t="str">
        <f>IF(B39=0,"",VLOOKUP($B39,Materials[],2,FALSE))</f>
        <v/>
      </c>
      <c r="D39" s="317"/>
      <c r="E39" s="317"/>
      <c r="F39" s="271"/>
      <c r="G39" s="273"/>
      <c r="H39" s="289"/>
      <c r="I39" s="223" t="str">
        <f>IF($B39=0,"",VLOOKUP($B39,Materials[],5,FALSE))</f>
        <v/>
      </c>
      <c r="J39" s="225" t="str">
        <f>IF($B39=0,"",VLOOKUP($B39,Materials[],7,FALSE))</f>
        <v/>
      </c>
      <c r="K39" s="257">
        <f t="shared" si="2"/>
        <v>0</v>
      </c>
      <c r="L39" s="230"/>
    </row>
    <row r="40" spans="1:12" x14ac:dyDescent="0.2">
      <c r="A40" s="229"/>
      <c r="B40" s="275"/>
      <c r="C40" s="317" t="str">
        <f>IF(B40=0,"",VLOOKUP($B40,Materials[],2,FALSE))</f>
        <v/>
      </c>
      <c r="D40" s="317"/>
      <c r="E40" s="317"/>
      <c r="F40" s="271"/>
      <c r="G40" s="273"/>
      <c r="H40" s="289"/>
      <c r="I40" s="223" t="str">
        <f>IF($B40=0,"",VLOOKUP($B40,Materials[],5,FALSE))</f>
        <v/>
      </c>
      <c r="J40" s="225" t="str">
        <f>IF($B40=0,"",VLOOKUP($B40,Materials[],7,FALSE))</f>
        <v/>
      </c>
      <c r="K40" s="257">
        <f t="shared" si="2"/>
        <v>0</v>
      </c>
      <c r="L40" s="230"/>
    </row>
    <row r="41" spans="1:12" x14ac:dyDescent="0.2">
      <c r="A41" s="240"/>
      <c r="B41" s="275"/>
      <c r="C41" s="317" t="str">
        <f>IF(B41=0,"",VLOOKUP($B41,Materials[],2,FALSE))</f>
        <v/>
      </c>
      <c r="D41" s="317"/>
      <c r="E41" s="317"/>
      <c r="F41" s="271"/>
      <c r="G41" s="273"/>
      <c r="H41" s="288"/>
      <c r="I41" s="223" t="str">
        <f>IF($B41=0,"",VLOOKUP($B41,Materials[],5,FALSE))</f>
        <v/>
      </c>
      <c r="J41" s="225" t="str">
        <f>IF($B41=0,"",VLOOKUP($B41,Materials[],7,FALSE))</f>
        <v/>
      </c>
      <c r="K41" s="257">
        <f t="shared" si="2"/>
        <v>0</v>
      </c>
      <c r="L41" s="230"/>
    </row>
    <row r="42" spans="1:12" x14ac:dyDescent="0.2">
      <c r="A42" s="240"/>
      <c r="B42" s="275"/>
      <c r="C42" s="317" t="str">
        <f>IF(B42=0,"",VLOOKUP($B42,Materials[],2,FALSE))</f>
        <v/>
      </c>
      <c r="D42" s="317"/>
      <c r="E42" s="317"/>
      <c r="F42" s="271"/>
      <c r="G42" s="273"/>
      <c r="H42" s="288"/>
      <c r="I42" s="223" t="str">
        <f>IF($B42=0,"",VLOOKUP($B42,Materials[],5,FALSE))</f>
        <v/>
      </c>
      <c r="J42" s="225" t="str">
        <f>IF($B42=0,"",VLOOKUP($B42,Materials[],7,FALSE))</f>
        <v/>
      </c>
      <c r="K42" s="257">
        <f t="shared" si="2"/>
        <v>0</v>
      </c>
      <c r="L42" s="230"/>
    </row>
    <row r="43" spans="1:12" x14ac:dyDescent="0.2">
      <c r="A43" s="240"/>
      <c r="B43" s="275"/>
      <c r="C43" s="317" t="str">
        <f>IF(B43=0,"",VLOOKUP($B43,Materials[],2,FALSE))</f>
        <v/>
      </c>
      <c r="D43" s="317"/>
      <c r="E43" s="317"/>
      <c r="F43" s="271"/>
      <c r="G43" s="273"/>
      <c r="H43" s="288"/>
      <c r="I43" s="223" t="str">
        <f>IF($B43=0,"",VLOOKUP($B43,Materials[],5,FALSE))</f>
        <v/>
      </c>
      <c r="J43" s="225" t="str">
        <f>IF($B43=0,"",VLOOKUP($B43,Materials[],7,FALSE))</f>
        <v/>
      </c>
      <c r="K43" s="257">
        <f t="shared" si="2"/>
        <v>0</v>
      </c>
      <c r="L43" s="230"/>
    </row>
    <row r="44" spans="1:12" x14ac:dyDescent="0.2">
      <c r="A44" s="240"/>
      <c r="B44" s="275"/>
      <c r="C44" s="317" t="str">
        <f>IF(B44=0,"",VLOOKUP($B44,Materials[],2,FALSE))</f>
        <v/>
      </c>
      <c r="D44" s="317"/>
      <c r="E44" s="317"/>
      <c r="F44" s="271"/>
      <c r="G44" s="273"/>
      <c r="H44" s="288"/>
      <c r="I44" s="223" t="str">
        <f>IF($B44=0,"",VLOOKUP($B44,Materials[],5,FALSE))</f>
        <v/>
      </c>
      <c r="J44" s="225" t="str">
        <f>IF($B44=0,"",VLOOKUP($B44,Materials[],7,FALSE))</f>
        <v/>
      </c>
      <c r="K44" s="257">
        <f t="shared" si="2"/>
        <v>0</v>
      </c>
      <c r="L44" s="230"/>
    </row>
    <row r="45" spans="1:12" x14ac:dyDescent="0.2">
      <c r="A45" s="240"/>
      <c r="B45" s="275"/>
      <c r="C45" s="317" t="str">
        <f>IF(B45=0,"",VLOOKUP($B45,Materials[],2,FALSE))</f>
        <v/>
      </c>
      <c r="D45" s="317"/>
      <c r="E45" s="317"/>
      <c r="F45" s="271"/>
      <c r="G45" s="273"/>
      <c r="H45" s="288"/>
      <c r="I45" s="223" t="str">
        <f>IF($B45=0,"",VLOOKUP($B45,Materials[],5,FALSE))</f>
        <v/>
      </c>
      <c r="J45" s="225" t="str">
        <f>IF($B45=0,"",VLOOKUP($B45,Materials[],7,FALSE))</f>
        <v/>
      </c>
      <c r="K45" s="257">
        <f t="shared" si="2"/>
        <v>0</v>
      </c>
      <c r="L45" s="230"/>
    </row>
    <row r="46" spans="1:12" x14ac:dyDescent="0.2">
      <c r="A46" s="229"/>
      <c r="B46" s="275"/>
      <c r="C46" s="317" t="str">
        <f>IF(B46=0,"",VLOOKUP($B46,Materials[],2,FALSE))</f>
        <v/>
      </c>
      <c r="D46" s="317"/>
      <c r="E46" s="317"/>
      <c r="F46" s="271"/>
      <c r="G46" s="273"/>
      <c r="H46" s="288"/>
      <c r="I46" s="223" t="str">
        <f>IF($B46=0,"",VLOOKUP($B46,Materials[],5,FALSE))</f>
        <v/>
      </c>
      <c r="J46" s="225" t="str">
        <f>IF($B46=0,"",VLOOKUP($B46,Materials[],7,FALSE))</f>
        <v/>
      </c>
      <c r="K46" s="257">
        <f t="shared" si="2"/>
        <v>0</v>
      </c>
      <c r="L46" s="230"/>
    </row>
    <row r="47" spans="1:12" x14ac:dyDescent="0.2">
      <c r="A47" s="229"/>
      <c r="B47" s="275"/>
      <c r="C47" s="317" t="str">
        <f>IF(B47=0,"",VLOOKUP($B47,Materials[],2,FALSE))</f>
        <v/>
      </c>
      <c r="D47" s="317"/>
      <c r="E47" s="317"/>
      <c r="F47" s="271"/>
      <c r="G47" s="273"/>
      <c r="H47" s="288"/>
      <c r="I47" s="223" t="str">
        <f>IF($B47=0,"",VLOOKUP($B47,Materials[],5,FALSE))</f>
        <v/>
      </c>
      <c r="J47" s="225" t="str">
        <f>IF($B47=0,"",VLOOKUP($B47,Materials[],7,FALSE))</f>
        <v/>
      </c>
      <c r="K47" s="257">
        <f t="shared" si="2"/>
        <v>0</v>
      </c>
      <c r="L47" s="230"/>
    </row>
    <row r="48" spans="1:12" x14ac:dyDescent="0.2">
      <c r="B48" s="276"/>
      <c r="C48" s="317" t="str">
        <f>IF(B48=0,"",VLOOKUP($B48,Materials[],2,FALSE))</f>
        <v/>
      </c>
      <c r="D48" s="317"/>
      <c r="E48" s="317"/>
      <c r="F48" s="272"/>
      <c r="G48" s="273"/>
      <c r="H48" s="290"/>
      <c r="I48" s="223" t="str">
        <f>IF($B48=0,"",VLOOKUP($B48,Materials[],5,FALSE))</f>
        <v/>
      </c>
      <c r="J48" s="225" t="str">
        <f>IF($B48=0,"",VLOOKUP($B48,Materials[],7,FALSE))</f>
        <v/>
      </c>
      <c r="K48" s="257">
        <f t="shared" si="2"/>
        <v>0</v>
      </c>
      <c r="L48" s="230"/>
    </row>
    <row r="49" spans="2:12" x14ac:dyDescent="0.2">
      <c r="B49" s="276"/>
      <c r="C49" s="317" t="str">
        <f>IF(B49=0,"",VLOOKUP($B49,Materials[],2,FALSE))</f>
        <v/>
      </c>
      <c r="D49" s="317"/>
      <c r="E49" s="317"/>
      <c r="F49" s="272"/>
      <c r="G49" s="273"/>
      <c r="H49" s="290"/>
      <c r="I49" s="223" t="str">
        <f>IF($B49=0,"",VLOOKUP($B49,Materials[],5,FALSE))</f>
        <v/>
      </c>
      <c r="J49" s="225" t="str">
        <f>IF($B49=0,"",VLOOKUP($B49,Materials[],7,FALSE))</f>
        <v/>
      </c>
      <c r="K49" s="257">
        <f t="shared" si="2"/>
        <v>0</v>
      </c>
      <c r="L49" s="230"/>
    </row>
    <row r="50" spans="2:12" x14ac:dyDescent="0.2">
      <c r="B50" s="276"/>
      <c r="C50" s="317" t="str">
        <f>IF(B50=0,"",VLOOKUP($B50,Materials[],2,FALSE))</f>
        <v/>
      </c>
      <c r="D50" s="317"/>
      <c r="E50" s="317"/>
      <c r="F50" s="272"/>
      <c r="G50" s="260"/>
      <c r="H50" s="290"/>
      <c r="I50" s="223" t="str">
        <f>IF($B50=0,"",VLOOKUP($B50,Materials[],5,FALSE))</f>
        <v/>
      </c>
      <c r="J50" s="225" t="str">
        <f>IF($B50=0,"",VLOOKUP($B50,Materials[],7,FALSE))</f>
        <v/>
      </c>
      <c r="K50" s="257">
        <f t="shared" si="2"/>
        <v>0</v>
      </c>
      <c r="L50" s="230"/>
    </row>
    <row r="51" spans="2:12" x14ac:dyDescent="0.2">
      <c r="B51" s="276"/>
      <c r="C51" s="317" t="str">
        <f>IF(B51=0,"",VLOOKUP($B51,Materials[],2,FALSE))</f>
        <v/>
      </c>
      <c r="D51" s="317"/>
      <c r="E51" s="317"/>
      <c r="F51" s="272"/>
      <c r="G51" s="260"/>
      <c r="H51" s="290"/>
      <c r="I51" s="223" t="str">
        <f>IF($B51=0,"",VLOOKUP($B51,Materials[],5,FALSE))</f>
        <v/>
      </c>
      <c r="J51" s="225" t="str">
        <f>IF($B51=0,"",VLOOKUP($B51,Materials[],7,FALSE))</f>
        <v/>
      </c>
      <c r="K51" s="257">
        <f t="shared" si="2"/>
        <v>0</v>
      </c>
      <c r="L51" s="230"/>
    </row>
    <row r="52" spans="2:12" x14ac:dyDescent="0.2">
      <c r="B52" s="276"/>
      <c r="C52" s="317" t="str">
        <f>IF(B52=0,"",VLOOKUP($B52,Materials[],2,FALSE))</f>
        <v/>
      </c>
      <c r="D52" s="317"/>
      <c r="E52" s="317"/>
      <c r="F52" s="272"/>
      <c r="G52" s="260"/>
      <c r="H52" s="290"/>
      <c r="I52" s="223" t="str">
        <f>IF($B52=0,"",VLOOKUP($B52,Materials[],5,FALSE))</f>
        <v/>
      </c>
      <c r="J52" s="225" t="str">
        <f>IF($B52=0,"",VLOOKUP($B52,Materials[],7,FALSE))</f>
        <v/>
      </c>
      <c r="K52" s="257">
        <f t="shared" si="2"/>
        <v>0</v>
      </c>
      <c r="L52" s="230"/>
    </row>
    <row r="53" spans="2:12" x14ac:dyDescent="0.2">
      <c r="B53" s="276"/>
      <c r="C53" s="317" t="str">
        <f>IF(B53=0,"",VLOOKUP($B53,Materials[],2,FALSE))</f>
        <v/>
      </c>
      <c r="D53" s="317"/>
      <c r="E53" s="317"/>
      <c r="F53" s="272"/>
      <c r="G53" s="260"/>
      <c r="H53" s="290"/>
      <c r="I53" s="223" t="str">
        <f>IF($B53=0,"",VLOOKUP($B53,Materials[],5,FALSE))</f>
        <v/>
      </c>
      <c r="J53" s="225" t="str">
        <f>IF($B53=0,"",VLOOKUP($B53,Materials[],7,FALSE))</f>
        <v/>
      </c>
      <c r="K53" s="257">
        <f t="shared" si="2"/>
        <v>0</v>
      </c>
      <c r="L53" s="248"/>
    </row>
    <row r="54" spans="2:12" x14ac:dyDescent="0.2">
      <c r="B54" s="276"/>
      <c r="C54" s="317" t="str">
        <f>IF(B54=0,"",VLOOKUP($B54,Materials[],2,FALSE))</f>
        <v/>
      </c>
      <c r="D54" s="317"/>
      <c r="E54" s="317"/>
      <c r="F54" s="272"/>
      <c r="G54" s="260"/>
      <c r="H54" s="290"/>
      <c r="I54" s="223" t="str">
        <f>IF($B54=0,"",VLOOKUP($B54,Materials[],5,FALSE))</f>
        <v/>
      </c>
      <c r="J54" s="225" t="str">
        <f>IF($B54=0,"",VLOOKUP($B54,Materials[],7,FALSE))</f>
        <v/>
      </c>
      <c r="K54" s="257">
        <f>IF(B54=0,0,ROUND(G54*H54*J54,2))</f>
        <v>0</v>
      </c>
      <c r="L54" s="248"/>
    </row>
    <row r="55" spans="2:12" x14ac:dyDescent="0.2">
      <c r="B55" s="276"/>
      <c r="C55" s="317" t="str">
        <f>IF(B55=0,"",VLOOKUP($B55,Materials[],2,FALSE))</f>
        <v/>
      </c>
      <c r="D55" s="317"/>
      <c r="E55" s="317"/>
      <c r="F55" s="272"/>
      <c r="G55" s="260"/>
      <c r="H55" s="290"/>
      <c r="I55" s="223" t="str">
        <f>IF($B55=0,"",VLOOKUP($B55,Materials[],5,FALSE))</f>
        <v/>
      </c>
      <c r="J55" s="225" t="str">
        <f>IF($B55=0,"",VLOOKUP($B55,Materials[],7,FALSE))</f>
        <v/>
      </c>
      <c r="K55" s="257">
        <f>IF(B55=0,0,ROUND(G55*H55*J55,2))</f>
        <v>0</v>
      </c>
      <c r="L55" s="248"/>
    </row>
    <row r="56" spans="2:12" x14ac:dyDescent="0.2">
      <c r="B56" s="276"/>
      <c r="C56" s="317" t="str">
        <f>IF(B56=0,"",VLOOKUP($B56,Materials[],2,FALSE))</f>
        <v/>
      </c>
      <c r="D56" s="317"/>
      <c r="E56" s="317"/>
      <c r="F56" s="272"/>
      <c r="G56" s="260"/>
      <c r="H56" s="290"/>
      <c r="I56" s="223" t="str">
        <f>IF($B56=0,"",VLOOKUP($B56,Materials[],5,FALSE))</f>
        <v/>
      </c>
      <c r="J56" s="225" t="str">
        <f>IF($B56=0,"",VLOOKUP($B56,Materials[],7,FALSE))</f>
        <v/>
      </c>
      <c r="K56" s="257">
        <f>IF(B56=0,0,ROUND(G56*H56*J56,2))</f>
        <v>0</v>
      </c>
      <c r="L56" s="248"/>
    </row>
    <row r="57" spans="2:12" x14ac:dyDescent="0.2">
      <c r="B57" s="276"/>
      <c r="C57" s="317" t="str">
        <f>IF(B57=0,"",VLOOKUP($B57,Materials[],2,FALSE))</f>
        <v/>
      </c>
      <c r="D57" s="317"/>
      <c r="E57" s="317"/>
      <c r="F57" s="272"/>
      <c r="G57" s="260"/>
      <c r="H57" s="290"/>
      <c r="I57" s="223" t="str">
        <f>IF($B57=0,"",VLOOKUP($B57,Materials[],5,FALSE))</f>
        <v/>
      </c>
      <c r="J57" s="225" t="str">
        <f>IF($B57=0,"",VLOOKUP($B57,Materials[],7,FALSE))</f>
        <v/>
      </c>
      <c r="K57" s="257">
        <f>IF(B57=0,0,ROUND(G57*H57*J57,2))</f>
        <v>0</v>
      </c>
      <c r="L57" s="248"/>
    </row>
    <row r="58" spans="2:12" x14ac:dyDescent="0.2">
      <c r="B58" s="276"/>
      <c r="C58" s="317" t="str">
        <f>IF(B58=0,"",VLOOKUP($B58,Materials[],2,FALSE))</f>
        <v/>
      </c>
      <c r="D58" s="317"/>
      <c r="E58" s="317"/>
      <c r="F58" s="272"/>
      <c r="G58" s="260"/>
      <c r="H58" s="290"/>
      <c r="I58" s="223" t="str">
        <f>IF($B58=0,"",VLOOKUP($B58,Materials[],5,FALSE))</f>
        <v/>
      </c>
      <c r="J58" s="225" t="str">
        <f>IF($B58=0,"",VLOOKUP($B58,Materials[],7,FALSE))</f>
        <v/>
      </c>
      <c r="K58" s="257">
        <f>IF(B58=0,0,ROUND(G58*H58*J58,2))</f>
        <v>0</v>
      </c>
      <c r="L58" s="248"/>
    </row>
    <row r="59" spans="2:12" x14ac:dyDescent="0.2">
      <c r="B59" s="276"/>
      <c r="C59" s="318">
        <f>IF(B59=0,0,"Crop Insurance")</f>
        <v>0</v>
      </c>
      <c r="D59" s="318"/>
      <c r="E59" s="318"/>
      <c r="F59" s="272"/>
      <c r="G59" s="260">
        <f>IF(B59=0,0,100%)</f>
        <v>0</v>
      </c>
      <c r="H59" s="290">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97</v>
      </c>
      <c r="D61" s="219"/>
      <c r="J61" s="257"/>
      <c r="K61" s="257">
        <f>SUM(K35:K59)</f>
        <v>0</v>
      </c>
      <c r="L61" s="230"/>
    </row>
    <row r="62" spans="2:12" x14ac:dyDescent="0.2">
      <c r="B62" s="241"/>
    </row>
    <row r="63" spans="2:12" x14ac:dyDescent="0.2">
      <c r="B63" s="261" t="s">
        <v>101</v>
      </c>
      <c r="K63" s="257">
        <f>K31+K61</f>
        <v>0</v>
      </c>
      <c r="L63" s="230"/>
    </row>
    <row r="64" spans="2:12" ht="13.5" thickBot="1" x14ac:dyDescent="0.25">
      <c r="D64" s="233" t="s">
        <v>402</v>
      </c>
      <c r="E64" s="245">
        <f>SUM($E$31:$H$31)+$K$61</f>
        <v>0</v>
      </c>
      <c r="F64" s="312" t="s">
        <v>403</v>
      </c>
      <c r="G64" s="312"/>
      <c r="H64" s="234">
        <f>'General Variables'!$B$11</f>
        <v>5.5E-2</v>
      </c>
      <c r="I64" s="235" t="str">
        <f>CONCATENATE("for ",TEXT('General Variables'!$B$12,"0.0")," mo.")</f>
        <v>for 6.0 mo.</v>
      </c>
      <c r="K64" s="21">
        <f>ROUND(E64*H64*'General Variables'!$B$12/12,2)</f>
        <v>0</v>
      </c>
      <c r="L64" s="231"/>
    </row>
    <row r="65" spans="2:12" ht="13.5" thickTop="1" x14ac:dyDescent="0.2">
      <c r="B65" s="261" t="s">
        <v>407</v>
      </c>
      <c r="K65" s="257">
        <f>SUM(K63:K64)</f>
        <v>0</v>
      </c>
      <c r="L65" s="230"/>
    </row>
    <row r="67" spans="2:12" x14ac:dyDescent="0.2">
      <c r="B67" s="243" t="s">
        <v>436</v>
      </c>
      <c r="C67" s="232"/>
      <c r="D67" s="232"/>
      <c r="E67" s="232"/>
      <c r="F67" s="232"/>
      <c r="G67" s="232"/>
      <c r="H67" s="232"/>
      <c r="I67" s="232"/>
      <c r="J67" s="232"/>
      <c r="K67" s="22">
        <f>'General Variables'!B14</f>
        <v>20</v>
      </c>
      <c r="L67" s="230"/>
    </row>
    <row r="68" spans="2:12" x14ac:dyDescent="0.2">
      <c r="B68" s="218" t="s">
        <v>410</v>
      </c>
      <c r="C68" s="313"/>
      <c r="D68" s="314"/>
      <c r="E68" s="315"/>
      <c r="F68" s="237">
        <f>IF(C68=0,0,VLOOKUP(C68,RETable,2,FALSE))</f>
        <v>0</v>
      </c>
      <c r="G68" s="312" t="s">
        <v>411</v>
      </c>
      <c r="H68" s="312"/>
      <c r="I68" s="234">
        <f>'General Variables'!$B$10</f>
        <v>0.04</v>
      </c>
      <c r="K68" s="25">
        <f>ROUND(F68*I68,2)</f>
        <v>0</v>
      </c>
      <c r="L68" s="230"/>
    </row>
    <row r="69" spans="2:12" ht="13.5" thickBot="1" x14ac:dyDescent="0.25">
      <c r="B69" s="218" t="s">
        <v>419</v>
      </c>
      <c r="F69" s="244">
        <f>IF(C68=0,0,VLOOKUP(C68,RETable,2,FALSE))</f>
        <v>0</v>
      </c>
      <c r="G69" s="316" t="s">
        <v>411</v>
      </c>
      <c r="H69" s="316"/>
      <c r="I69" s="242">
        <f>'General Variables'!$B$13</f>
        <v>0.01</v>
      </c>
      <c r="J69" s="229"/>
      <c r="K69" s="26">
        <f>ROUND(F69*I69,2)</f>
        <v>0</v>
      </c>
      <c r="L69" s="231"/>
    </row>
    <row r="70" spans="2:12" ht="13.5" thickTop="1" x14ac:dyDescent="0.2">
      <c r="B70" s="261" t="s">
        <v>425</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573</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574</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467</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439</v>
      </c>
      <c r="F2" s="169" t="s">
        <v>439</v>
      </c>
      <c r="G2" s="168">
        <v>1</v>
      </c>
      <c r="H2" s="165">
        <f t="shared" ref="H2:H33" si="0">IF(G2=0,0,D2/G2)</f>
        <v>3.3</v>
      </c>
    </row>
    <row r="3" spans="1:10" ht="12.75" customHeight="1" x14ac:dyDescent="0.2">
      <c r="A3" s="163">
        <v>2</v>
      </c>
      <c r="B3" s="182" t="s">
        <v>8</v>
      </c>
      <c r="C3" s="183" t="s">
        <v>7</v>
      </c>
      <c r="D3" s="184">
        <v>3.35</v>
      </c>
      <c r="E3" s="185" t="s">
        <v>439</v>
      </c>
      <c r="F3" s="183" t="s">
        <v>439</v>
      </c>
      <c r="G3" s="181">
        <v>1</v>
      </c>
      <c r="H3" s="165">
        <f t="shared" si="0"/>
        <v>3.35</v>
      </c>
      <c r="J3" s="166"/>
    </row>
    <row r="4" spans="1:10" ht="12.75" customHeight="1" x14ac:dyDescent="0.2">
      <c r="A4" s="163">
        <v>3</v>
      </c>
      <c r="B4" s="188" t="s">
        <v>9</v>
      </c>
      <c r="C4" s="167" t="s">
        <v>7</v>
      </c>
      <c r="D4" s="87">
        <v>0.3</v>
      </c>
      <c r="E4" s="167" t="s">
        <v>440</v>
      </c>
      <c r="F4" s="167" t="s">
        <v>440</v>
      </c>
      <c r="G4" s="168">
        <v>1</v>
      </c>
      <c r="H4" s="165">
        <f t="shared" si="0"/>
        <v>0.3</v>
      </c>
      <c r="J4" s="166"/>
    </row>
    <row r="5" spans="1:10" ht="12.75" customHeight="1" x14ac:dyDescent="0.2">
      <c r="A5" s="163">
        <v>4</v>
      </c>
      <c r="B5" s="182" t="s">
        <v>10</v>
      </c>
      <c r="C5" s="183" t="s">
        <v>11</v>
      </c>
      <c r="D5" s="186">
        <v>16</v>
      </c>
      <c r="E5" s="180" t="s">
        <v>439</v>
      </c>
      <c r="F5" s="183" t="s">
        <v>442</v>
      </c>
      <c r="G5" s="181">
        <v>8</v>
      </c>
      <c r="H5" s="165">
        <f t="shared" si="0"/>
        <v>2</v>
      </c>
      <c r="J5" s="166"/>
    </row>
    <row r="6" spans="1:10" ht="12.75" customHeight="1" x14ac:dyDescent="0.2">
      <c r="A6" s="163">
        <v>5</v>
      </c>
      <c r="B6" s="182" t="s">
        <v>12</v>
      </c>
      <c r="C6" s="183" t="s">
        <v>11</v>
      </c>
      <c r="D6" s="186">
        <v>21.5</v>
      </c>
      <c r="E6" s="180" t="s">
        <v>439</v>
      </c>
      <c r="F6" s="183" t="s">
        <v>442</v>
      </c>
      <c r="G6" s="181">
        <v>8</v>
      </c>
      <c r="H6" s="165">
        <f t="shared" si="0"/>
        <v>2.6875</v>
      </c>
      <c r="J6" s="166"/>
    </row>
    <row r="7" spans="1:10" ht="12.75" customHeight="1" x14ac:dyDescent="0.2">
      <c r="A7" s="163">
        <v>6</v>
      </c>
      <c r="B7" s="189" t="s">
        <v>497</v>
      </c>
      <c r="C7" s="169" t="s">
        <v>529</v>
      </c>
      <c r="D7" s="170">
        <v>0.33</v>
      </c>
      <c r="E7" s="171" t="s">
        <v>440</v>
      </c>
      <c r="F7" s="173" t="s">
        <v>440</v>
      </c>
      <c r="G7" s="168">
        <v>1</v>
      </c>
      <c r="H7" s="165">
        <f t="shared" si="0"/>
        <v>0.33</v>
      </c>
      <c r="J7" s="166"/>
    </row>
    <row r="8" spans="1:10" ht="12.75" customHeight="1" x14ac:dyDescent="0.2">
      <c r="A8" s="163">
        <v>7</v>
      </c>
      <c r="B8" s="182" t="s">
        <v>13</v>
      </c>
      <c r="C8" s="183" t="s">
        <v>7</v>
      </c>
      <c r="D8" s="184">
        <v>1.7</v>
      </c>
      <c r="E8" s="185" t="s">
        <v>439</v>
      </c>
      <c r="F8" s="187" t="s">
        <v>446</v>
      </c>
      <c r="G8" s="181">
        <v>3</v>
      </c>
      <c r="H8" s="165">
        <f t="shared" si="0"/>
        <v>0.56666666666666665</v>
      </c>
      <c r="J8" s="166"/>
    </row>
    <row r="9" spans="1:10" ht="12.75" customHeight="1" x14ac:dyDescent="0.2">
      <c r="A9" s="163">
        <v>8</v>
      </c>
      <c r="B9" s="179" t="s">
        <v>448</v>
      </c>
      <c r="C9" s="180" t="s">
        <v>7</v>
      </c>
      <c r="D9" s="87">
        <v>0.55000000000000004</v>
      </c>
      <c r="E9" s="180" t="s">
        <v>446</v>
      </c>
      <c r="F9" s="180" t="s">
        <v>446</v>
      </c>
      <c r="G9" s="181">
        <v>1</v>
      </c>
      <c r="H9" s="165">
        <f t="shared" si="0"/>
        <v>0.55000000000000004</v>
      </c>
      <c r="J9" s="166"/>
    </row>
    <row r="10" spans="1:10" ht="12.75" customHeight="1" x14ac:dyDescent="0.2">
      <c r="A10" s="163">
        <v>9</v>
      </c>
      <c r="B10" s="210" t="s">
        <v>558</v>
      </c>
      <c r="C10" s="207" t="s">
        <v>7</v>
      </c>
      <c r="D10" s="87">
        <v>0.55000000000000004</v>
      </c>
      <c r="E10" s="207" t="s">
        <v>446</v>
      </c>
      <c r="F10" s="180" t="s">
        <v>446</v>
      </c>
      <c r="G10" s="181">
        <v>1</v>
      </c>
      <c r="H10" s="165">
        <f t="shared" si="0"/>
        <v>0.55000000000000004</v>
      </c>
      <c r="J10" s="166"/>
    </row>
    <row r="11" spans="1:10" ht="12.75" customHeight="1" x14ac:dyDescent="0.2">
      <c r="A11" s="163">
        <v>10</v>
      </c>
      <c r="B11" s="210" t="s">
        <v>538</v>
      </c>
      <c r="C11" s="207" t="s">
        <v>7</v>
      </c>
      <c r="D11" s="87">
        <v>0.55000000000000004</v>
      </c>
      <c r="E11" s="207" t="s">
        <v>446</v>
      </c>
      <c r="F11" s="180" t="s">
        <v>446</v>
      </c>
      <c r="G11" s="181">
        <v>1</v>
      </c>
      <c r="H11" s="165">
        <f t="shared" si="0"/>
        <v>0.55000000000000004</v>
      </c>
      <c r="J11" s="166"/>
    </row>
    <row r="12" spans="1:10" ht="12.75" customHeight="1" x14ac:dyDescent="0.2">
      <c r="A12" s="163">
        <v>11</v>
      </c>
      <c r="B12" s="189" t="s">
        <v>603</v>
      </c>
      <c r="C12" s="169" t="s">
        <v>529</v>
      </c>
      <c r="D12" s="170">
        <v>1.95</v>
      </c>
      <c r="E12" s="171" t="s">
        <v>439</v>
      </c>
      <c r="F12" s="169" t="s">
        <v>443</v>
      </c>
      <c r="G12" s="168">
        <v>5</v>
      </c>
      <c r="H12" s="165">
        <f t="shared" si="0"/>
        <v>0.39</v>
      </c>
      <c r="J12" s="166"/>
    </row>
    <row r="13" spans="1:10" ht="12.75" customHeight="1" x14ac:dyDescent="0.2">
      <c r="A13" s="163">
        <v>12</v>
      </c>
      <c r="B13" s="182" t="s">
        <v>14</v>
      </c>
      <c r="C13" s="183" t="s">
        <v>7</v>
      </c>
      <c r="D13" s="184">
        <v>0.56999999999999995</v>
      </c>
      <c r="E13" s="185" t="s">
        <v>75</v>
      </c>
      <c r="F13" s="187" t="s">
        <v>446</v>
      </c>
      <c r="G13" s="181">
        <v>1</v>
      </c>
      <c r="H13" s="165">
        <f t="shared" si="0"/>
        <v>0.56999999999999995</v>
      </c>
      <c r="J13" s="166"/>
    </row>
    <row r="14" spans="1:10" ht="12.75" customHeight="1" x14ac:dyDescent="0.2">
      <c r="A14" s="163">
        <v>13</v>
      </c>
      <c r="B14" s="182" t="s">
        <v>15</v>
      </c>
      <c r="C14" s="183" t="s">
        <v>7</v>
      </c>
      <c r="D14" s="184">
        <v>0.46</v>
      </c>
      <c r="E14" s="183" t="s">
        <v>75</v>
      </c>
      <c r="F14" s="187" t="s">
        <v>446</v>
      </c>
      <c r="G14" s="181">
        <v>1</v>
      </c>
      <c r="H14" s="165">
        <f t="shared" si="0"/>
        <v>0.46</v>
      </c>
    </row>
    <row r="15" spans="1:10" ht="12.75" customHeight="1" x14ac:dyDescent="0.2">
      <c r="A15" s="163">
        <v>14</v>
      </c>
      <c r="B15" s="182" t="s">
        <v>16</v>
      </c>
      <c r="C15" s="183" t="s">
        <v>11</v>
      </c>
      <c r="D15" s="186">
        <v>21</v>
      </c>
      <c r="E15" s="180" t="s">
        <v>439</v>
      </c>
      <c r="F15" s="183" t="s">
        <v>443</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472</v>
      </c>
      <c r="C17" s="169" t="s">
        <v>11</v>
      </c>
      <c r="D17" s="87">
        <v>240</v>
      </c>
      <c r="E17" s="167" t="s">
        <v>443</v>
      </c>
      <c r="F17" s="169" t="s">
        <v>441</v>
      </c>
      <c r="G17" s="168">
        <v>32</v>
      </c>
      <c r="H17" s="165">
        <f t="shared" si="0"/>
        <v>7.5</v>
      </c>
      <c r="J17" s="166"/>
    </row>
    <row r="18" spans="1:10" ht="12.75" customHeight="1" x14ac:dyDescent="0.2">
      <c r="A18" s="163">
        <v>17</v>
      </c>
      <c r="B18" s="179" t="s">
        <v>532</v>
      </c>
      <c r="C18" s="180" t="s">
        <v>19</v>
      </c>
      <c r="D18" s="87">
        <v>9</v>
      </c>
      <c r="E18" s="180" t="s">
        <v>440</v>
      </c>
      <c r="F18" s="180" t="s">
        <v>440</v>
      </c>
      <c r="G18" s="181">
        <v>1</v>
      </c>
      <c r="H18" s="165">
        <f t="shared" si="0"/>
        <v>9</v>
      </c>
    </row>
    <row r="19" spans="1:10" ht="12.75" customHeight="1" x14ac:dyDescent="0.2">
      <c r="A19" s="163">
        <v>18</v>
      </c>
      <c r="B19" s="182" t="s">
        <v>18</v>
      </c>
      <c r="C19" s="183" t="s">
        <v>19</v>
      </c>
      <c r="D19" s="184">
        <v>6</v>
      </c>
      <c r="E19" s="185" t="s">
        <v>440</v>
      </c>
      <c r="F19" s="183" t="s">
        <v>440</v>
      </c>
      <c r="G19" s="181">
        <v>1</v>
      </c>
      <c r="H19" s="165">
        <f t="shared" si="0"/>
        <v>6</v>
      </c>
      <c r="J19" s="166"/>
    </row>
    <row r="20" spans="1:10" ht="12.75" customHeight="1" x14ac:dyDescent="0.2">
      <c r="A20" s="163">
        <v>19</v>
      </c>
      <c r="B20" s="182" t="s">
        <v>490</v>
      </c>
      <c r="C20" s="183" t="s">
        <v>11</v>
      </c>
      <c r="D20" s="186">
        <v>9</v>
      </c>
      <c r="E20" s="180" t="s">
        <v>441</v>
      </c>
      <c r="F20" s="187" t="s">
        <v>441</v>
      </c>
      <c r="G20" s="181">
        <v>1</v>
      </c>
      <c r="H20" s="165">
        <f t="shared" si="0"/>
        <v>9</v>
      </c>
      <c r="J20" s="166"/>
    </row>
    <row r="21" spans="1:10" ht="12.75" customHeight="1" x14ac:dyDescent="0.2">
      <c r="A21" s="163">
        <v>20</v>
      </c>
      <c r="B21" s="179" t="s">
        <v>450</v>
      </c>
      <c r="C21" s="180" t="s">
        <v>21</v>
      </c>
      <c r="D21" s="186">
        <v>80</v>
      </c>
      <c r="E21" s="180" t="s">
        <v>439</v>
      </c>
      <c r="F21" s="180" t="s">
        <v>441</v>
      </c>
      <c r="G21" s="181">
        <v>128</v>
      </c>
      <c r="H21" s="165">
        <f t="shared" si="0"/>
        <v>0.625</v>
      </c>
      <c r="J21" s="166"/>
    </row>
    <row r="22" spans="1:10" ht="12.75" customHeight="1" x14ac:dyDescent="0.2">
      <c r="A22" s="163">
        <v>21</v>
      </c>
      <c r="B22" s="301" t="s">
        <v>599</v>
      </c>
      <c r="C22" s="183" t="s">
        <v>11</v>
      </c>
      <c r="D22" s="184">
        <v>14.5</v>
      </c>
      <c r="E22" s="185" t="s">
        <v>439</v>
      </c>
      <c r="F22" s="183" t="s">
        <v>443</v>
      </c>
      <c r="G22" s="181">
        <v>4</v>
      </c>
      <c r="H22" s="165">
        <f t="shared" si="0"/>
        <v>3.625</v>
      </c>
      <c r="J22" s="166"/>
    </row>
    <row r="23" spans="1:10" ht="12.75" customHeight="1" x14ac:dyDescent="0.2">
      <c r="A23" s="163">
        <v>22</v>
      </c>
      <c r="B23" s="210" t="s">
        <v>537</v>
      </c>
      <c r="C23" s="207" t="s">
        <v>11</v>
      </c>
      <c r="D23" s="87">
        <v>3.25</v>
      </c>
      <c r="E23" s="207" t="s">
        <v>440</v>
      </c>
      <c r="F23" s="207" t="s">
        <v>440</v>
      </c>
      <c r="G23" s="168">
        <v>1</v>
      </c>
      <c r="H23" s="165">
        <f t="shared" si="0"/>
        <v>3.25</v>
      </c>
    </row>
    <row r="24" spans="1:10" ht="12.75" customHeight="1" x14ac:dyDescent="0.2">
      <c r="A24" s="163">
        <v>23</v>
      </c>
      <c r="B24" s="193" t="s">
        <v>491</v>
      </c>
      <c r="C24" s="183" t="s">
        <v>11</v>
      </c>
      <c r="D24" s="186">
        <v>90</v>
      </c>
      <c r="E24" s="180" t="s">
        <v>440</v>
      </c>
      <c r="F24" s="183" t="s">
        <v>441</v>
      </c>
      <c r="G24" s="181">
        <v>16</v>
      </c>
      <c r="H24" s="165">
        <f t="shared" si="0"/>
        <v>5.625</v>
      </c>
      <c r="J24" s="166"/>
    </row>
    <row r="25" spans="1:10" ht="12.75" customHeight="1" x14ac:dyDescent="0.2">
      <c r="A25" s="163">
        <v>24</v>
      </c>
      <c r="B25" s="179" t="s">
        <v>400</v>
      </c>
      <c r="C25" s="180" t="s">
        <v>11</v>
      </c>
      <c r="D25" s="186">
        <v>6</v>
      </c>
      <c r="E25" s="180" t="s">
        <v>441</v>
      </c>
      <c r="F25" s="180" t="s">
        <v>441</v>
      </c>
      <c r="G25" s="181">
        <v>1</v>
      </c>
      <c r="H25" s="165">
        <f t="shared" si="0"/>
        <v>6</v>
      </c>
      <c r="J25" s="166"/>
    </row>
    <row r="26" spans="1:10" ht="12.75" customHeight="1" x14ac:dyDescent="0.2">
      <c r="A26" s="163">
        <v>25</v>
      </c>
      <c r="B26" s="190" t="s">
        <v>579</v>
      </c>
      <c r="C26" s="169" t="s">
        <v>3</v>
      </c>
      <c r="D26" s="170">
        <v>13</v>
      </c>
      <c r="E26" s="171" t="s">
        <v>73</v>
      </c>
      <c r="F26" s="169" t="s">
        <v>65</v>
      </c>
      <c r="G26" s="168">
        <f>1360/2000</f>
        <v>0.68</v>
      </c>
      <c r="H26" s="165">
        <f t="shared" si="0"/>
        <v>19.117647058823529</v>
      </c>
      <c r="J26" s="166"/>
    </row>
    <row r="27" spans="1:10" ht="12.75" customHeight="1" x14ac:dyDescent="0.2">
      <c r="A27" s="163">
        <v>26</v>
      </c>
      <c r="B27" s="179" t="s">
        <v>449</v>
      </c>
      <c r="C27" s="180" t="s">
        <v>11</v>
      </c>
      <c r="D27" s="186">
        <v>105</v>
      </c>
      <c r="E27" s="180" t="s">
        <v>439</v>
      </c>
      <c r="F27" s="180" t="s">
        <v>442</v>
      </c>
      <c r="G27" s="181">
        <v>8</v>
      </c>
      <c r="H27" s="165">
        <f t="shared" si="0"/>
        <v>13.125</v>
      </c>
      <c r="J27" s="166"/>
    </row>
    <row r="28" spans="1:10" ht="12.75" customHeight="1" x14ac:dyDescent="0.2">
      <c r="A28" s="163">
        <v>27</v>
      </c>
      <c r="B28" s="182" t="s">
        <v>20</v>
      </c>
      <c r="C28" s="183" t="s">
        <v>11</v>
      </c>
      <c r="D28" s="186">
        <v>50</v>
      </c>
      <c r="E28" s="180" t="s">
        <v>439</v>
      </c>
      <c r="F28" s="183" t="s">
        <v>443</v>
      </c>
      <c r="G28" s="181">
        <v>4</v>
      </c>
      <c r="H28" s="165">
        <f t="shared" si="0"/>
        <v>12.5</v>
      </c>
      <c r="J28" s="166"/>
    </row>
    <row r="29" spans="1:10" ht="12.75" customHeight="1" x14ac:dyDescent="0.2">
      <c r="A29" s="163">
        <v>28</v>
      </c>
      <c r="B29" s="179" t="s">
        <v>466</v>
      </c>
      <c r="C29" s="180" t="s">
        <v>21</v>
      </c>
      <c r="D29" s="186">
        <v>145</v>
      </c>
      <c r="E29" s="180" t="s">
        <v>439</v>
      </c>
      <c r="F29" s="180" t="s">
        <v>441</v>
      </c>
      <c r="G29" s="181">
        <v>128</v>
      </c>
      <c r="H29" s="165">
        <f t="shared" si="0"/>
        <v>1.1328125</v>
      </c>
      <c r="J29" s="166"/>
    </row>
    <row r="30" spans="1:10" ht="12.75" customHeight="1" x14ac:dyDescent="0.2">
      <c r="A30" s="163">
        <v>29</v>
      </c>
      <c r="B30" s="188" t="s">
        <v>576</v>
      </c>
      <c r="C30" s="167" t="s">
        <v>11</v>
      </c>
      <c r="D30" s="87">
        <v>135</v>
      </c>
      <c r="E30" s="167" t="s">
        <v>439</v>
      </c>
      <c r="F30" s="169" t="s">
        <v>442</v>
      </c>
      <c r="G30" s="168">
        <v>8</v>
      </c>
      <c r="H30" s="165">
        <f t="shared" si="0"/>
        <v>16.875</v>
      </c>
      <c r="J30" s="166"/>
    </row>
    <row r="31" spans="1:10" ht="12.75" customHeight="1" x14ac:dyDescent="0.2">
      <c r="A31" s="163">
        <v>30</v>
      </c>
      <c r="B31" s="179" t="s">
        <v>536</v>
      </c>
      <c r="C31" s="180" t="s">
        <v>21</v>
      </c>
      <c r="D31" s="87">
        <v>360</v>
      </c>
      <c r="E31" s="180" t="s">
        <v>439</v>
      </c>
      <c r="F31" s="180" t="s">
        <v>441</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464</v>
      </c>
      <c r="C33" s="180" t="s">
        <v>39</v>
      </c>
      <c r="D33" s="186">
        <v>3.5</v>
      </c>
      <c r="E33" s="180" t="s">
        <v>442</v>
      </c>
      <c r="F33" s="180" t="s">
        <v>442</v>
      </c>
      <c r="G33" s="181">
        <v>1</v>
      </c>
      <c r="H33" s="165">
        <f t="shared" si="0"/>
        <v>3.5</v>
      </c>
      <c r="J33" s="166"/>
    </row>
    <row r="34" spans="1:10" ht="12.75" customHeight="1" x14ac:dyDescent="0.2">
      <c r="A34" s="163">
        <v>33</v>
      </c>
      <c r="B34" s="182" t="s">
        <v>23</v>
      </c>
      <c r="C34" s="183" t="s">
        <v>19</v>
      </c>
      <c r="D34" s="184">
        <v>175</v>
      </c>
      <c r="E34" s="185" t="s">
        <v>77</v>
      </c>
      <c r="F34" s="183" t="s">
        <v>575</v>
      </c>
      <c r="G34" s="181">
        <v>80</v>
      </c>
      <c r="H34" s="165">
        <f t="shared" ref="H34:H65" si="1">IF(G34=0,0,D34/G34)</f>
        <v>2.1875</v>
      </c>
      <c r="J34" s="166"/>
    </row>
    <row r="35" spans="1:10" ht="12.75" customHeight="1" x14ac:dyDescent="0.2">
      <c r="A35" s="163">
        <v>34</v>
      </c>
      <c r="B35" s="182" t="s">
        <v>24</v>
      </c>
      <c r="C35" s="183" t="s">
        <v>19</v>
      </c>
      <c r="D35" s="184">
        <v>200</v>
      </c>
      <c r="E35" s="185" t="s">
        <v>77</v>
      </c>
      <c r="F35" s="183" t="s">
        <v>575</v>
      </c>
      <c r="G35" s="181">
        <v>80</v>
      </c>
      <c r="H35" s="165">
        <f t="shared" si="1"/>
        <v>2.5</v>
      </c>
    </row>
    <row r="36" spans="1:10" ht="12.75" customHeight="1" x14ac:dyDescent="0.2">
      <c r="A36" s="163">
        <v>35</v>
      </c>
      <c r="B36" s="182" t="s">
        <v>25</v>
      </c>
      <c r="C36" s="183" t="s">
        <v>19</v>
      </c>
      <c r="D36" s="184">
        <v>215</v>
      </c>
      <c r="E36" s="185" t="s">
        <v>77</v>
      </c>
      <c r="F36" s="183" t="s">
        <v>575</v>
      </c>
      <c r="G36" s="181">
        <v>80</v>
      </c>
      <c r="H36" s="165">
        <f t="shared" si="1"/>
        <v>2.6875</v>
      </c>
      <c r="J36" s="166"/>
    </row>
    <row r="37" spans="1:10" ht="12.75" customHeight="1" x14ac:dyDescent="0.2">
      <c r="A37" s="163">
        <v>36</v>
      </c>
      <c r="B37" s="179" t="s">
        <v>534</v>
      </c>
      <c r="C37" s="180" t="s">
        <v>19</v>
      </c>
      <c r="D37" s="87">
        <v>245</v>
      </c>
      <c r="E37" s="180" t="s">
        <v>77</v>
      </c>
      <c r="F37" s="183" t="s">
        <v>575</v>
      </c>
      <c r="G37" s="181">
        <v>80</v>
      </c>
      <c r="H37" s="165">
        <f t="shared" si="1"/>
        <v>3.0625</v>
      </c>
      <c r="J37" s="166"/>
    </row>
    <row r="38" spans="1:10" ht="12.75" customHeight="1" x14ac:dyDescent="0.2">
      <c r="A38" s="163">
        <v>37</v>
      </c>
      <c r="B38" s="210" t="s">
        <v>571</v>
      </c>
      <c r="C38" s="207" t="s">
        <v>19</v>
      </c>
      <c r="D38" s="87">
        <v>230</v>
      </c>
      <c r="E38" s="207" t="s">
        <v>77</v>
      </c>
      <c r="F38" s="183" t="s">
        <v>575</v>
      </c>
      <c r="G38" s="181">
        <v>80</v>
      </c>
      <c r="H38" s="165">
        <f t="shared" si="1"/>
        <v>2.875</v>
      </c>
      <c r="J38" s="166"/>
    </row>
    <row r="39" spans="1:10" ht="12.75" customHeight="1" x14ac:dyDescent="0.2">
      <c r="A39" s="163">
        <v>38</v>
      </c>
      <c r="B39" s="179" t="s">
        <v>535</v>
      </c>
      <c r="C39" s="180" t="s">
        <v>19</v>
      </c>
      <c r="D39" s="186">
        <v>215</v>
      </c>
      <c r="E39" s="180" t="s">
        <v>77</v>
      </c>
      <c r="F39" s="183" t="s">
        <v>575</v>
      </c>
      <c r="G39" s="181">
        <v>80</v>
      </c>
      <c r="H39" s="165">
        <f t="shared" si="1"/>
        <v>2.6875</v>
      </c>
      <c r="J39" s="166"/>
    </row>
    <row r="40" spans="1:10" ht="12.75" customHeight="1" x14ac:dyDescent="0.2">
      <c r="A40" s="163">
        <v>39</v>
      </c>
      <c r="B40" s="189" t="s">
        <v>542</v>
      </c>
      <c r="C40" s="169" t="s">
        <v>19</v>
      </c>
      <c r="D40" s="170">
        <v>280</v>
      </c>
      <c r="E40" s="171" t="s">
        <v>77</v>
      </c>
      <c r="F40" s="183" t="s">
        <v>575</v>
      </c>
      <c r="G40" s="181">
        <v>80</v>
      </c>
      <c r="H40" s="165">
        <f t="shared" si="1"/>
        <v>3.5</v>
      </c>
      <c r="J40" s="166"/>
    </row>
    <row r="41" spans="1:10" ht="12.75" customHeight="1" x14ac:dyDescent="0.2">
      <c r="A41" s="163">
        <v>40</v>
      </c>
      <c r="B41" s="210" t="s">
        <v>601</v>
      </c>
      <c r="C41" s="207" t="s">
        <v>19</v>
      </c>
      <c r="D41" s="87">
        <v>20</v>
      </c>
      <c r="E41" s="207" t="s">
        <v>72</v>
      </c>
      <c r="F41" s="207" t="s">
        <v>72</v>
      </c>
      <c r="G41" s="168">
        <v>1</v>
      </c>
      <c r="H41" s="165">
        <f t="shared" si="1"/>
        <v>20</v>
      </c>
      <c r="J41" s="166"/>
    </row>
    <row r="42" spans="1:10" ht="12.75" customHeight="1" x14ac:dyDescent="0.2">
      <c r="A42" s="163">
        <v>41</v>
      </c>
      <c r="B42" s="210" t="s">
        <v>602</v>
      </c>
      <c r="C42" s="207" t="s">
        <v>19</v>
      </c>
      <c r="D42" s="87">
        <v>30</v>
      </c>
      <c r="E42" s="207" t="s">
        <v>72</v>
      </c>
      <c r="F42" s="207" t="s">
        <v>72</v>
      </c>
      <c r="G42" s="168">
        <v>1</v>
      </c>
      <c r="H42" s="165">
        <f t="shared" si="1"/>
        <v>30</v>
      </c>
      <c r="J42" s="166"/>
    </row>
    <row r="43" spans="1:10" ht="12.75" customHeight="1" x14ac:dyDescent="0.2">
      <c r="A43" s="163">
        <v>42</v>
      </c>
      <c r="B43" s="182" t="s">
        <v>26</v>
      </c>
      <c r="C43" s="183" t="s">
        <v>529</v>
      </c>
      <c r="D43" s="186">
        <v>10.5</v>
      </c>
      <c r="E43" s="180" t="s">
        <v>439</v>
      </c>
      <c r="F43" s="183" t="s">
        <v>442</v>
      </c>
      <c r="G43" s="181">
        <v>8</v>
      </c>
      <c r="H43" s="165">
        <f t="shared" si="1"/>
        <v>1.3125</v>
      </c>
      <c r="J43" s="166"/>
    </row>
    <row r="44" spans="1:10" ht="12.75" customHeight="1" x14ac:dyDescent="0.2">
      <c r="A44" s="163">
        <v>43</v>
      </c>
      <c r="B44" s="182" t="s">
        <v>27</v>
      </c>
      <c r="C44" s="183" t="s">
        <v>11</v>
      </c>
      <c r="D44" s="186">
        <v>80</v>
      </c>
      <c r="E44" s="180" t="s">
        <v>439</v>
      </c>
      <c r="F44" s="183" t="s">
        <v>441</v>
      </c>
      <c r="G44" s="181">
        <v>128</v>
      </c>
      <c r="H44" s="165">
        <f t="shared" si="1"/>
        <v>0.625</v>
      </c>
    </row>
    <row r="45" spans="1:10" ht="12.75" customHeight="1" x14ac:dyDescent="0.2">
      <c r="A45" s="163">
        <v>44</v>
      </c>
      <c r="B45" s="189" t="s">
        <v>496</v>
      </c>
      <c r="C45" s="169" t="s">
        <v>11</v>
      </c>
      <c r="D45" s="170">
        <v>40</v>
      </c>
      <c r="E45" s="171" t="s">
        <v>439</v>
      </c>
      <c r="F45" s="169" t="s">
        <v>441</v>
      </c>
      <c r="G45" s="168">
        <v>128</v>
      </c>
      <c r="H45" s="165">
        <f t="shared" si="1"/>
        <v>0.3125</v>
      </c>
      <c r="J45" s="166"/>
    </row>
    <row r="46" spans="1:10" ht="12.75" customHeight="1" x14ac:dyDescent="0.2">
      <c r="A46" s="163">
        <v>45</v>
      </c>
      <c r="B46" s="182" t="s">
        <v>568</v>
      </c>
      <c r="C46" s="183" t="s">
        <v>3</v>
      </c>
      <c r="D46" s="184">
        <v>0.09</v>
      </c>
      <c r="E46" s="185" t="s">
        <v>438</v>
      </c>
      <c r="F46" s="183" t="s">
        <v>438</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527</v>
      </c>
      <c r="C48" s="183" t="s">
        <v>29</v>
      </c>
      <c r="D48" s="184">
        <v>28</v>
      </c>
      <c r="E48" s="185" t="s">
        <v>72</v>
      </c>
      <c r="F48" s="183" t="s">
        <v>72</v>
      </c>
      <c r="G48" s="181">
        <v>1</v>
      </c>
      <c r="H48" s="165">
        <f t="shared" si="1"/>
        <v>28</v>
      </c>
      <c r="J48" s="166"/>
    </row>
    <row r="49" spans="1:10" ht="12.75" customHeight="1" x14ac:dyDescent="0.2">
      <c r="A49" s="163">
        <v>48</v>
      </c>
      <c r="B49" s="182" t="s">
        <v>494</v>
      </c>
      <c r="C49" s="183" t="s">
        <v>29</v>
      </c>
      <c r="D49" s="184">
        <v>0.1</v>
      </c>
      <c r="E49" s="185" t="s">
        <v>493</v>
      </c>
      <c r="F49" s="183" t="s">
        <v>493</v>
      </c>
      <c r="G49" s="181">
        <v>1</v>
      </c>
      <c r="H49" s="165">
        <f t="shared" si="1"/>
        <v>0.1</v>
      </c>
      <c r="J49" s="166"/>
    </row>
    <row r="50" spans="1:10" ht="12.75" customHeight="1" x14ac:dyDescent="0.2">
      <c r="A50" s="163">
        <v>49</v>
      </c>
      <c r="B50" s="182" t="s">
        <v>30</v>
      </c>
      <c r="C50" s="183" t="s">
        <v>11</v>
      </c>
      <c r="D50" s="186">
        <v>37</v>
      </c>
      <c r="E50" s="180" t="s">
        <v>439</v>
      </c>
      <c r="F50" s="183" t="s">
        <v>443</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439</v>
      </c>
      <c r="F52" s="183" t="s">
        <v>441</v>
      </c>
      <c r="G52" s="181">
        <v>128</v>
      </c>
      <c r="H52" s="165">
        <f t="shared" si="1"/>
        <v>0.1328125</v>
      </c>
      <c r="J52" s="166"/>
    </row>
    <row r="53" spans="1:10" ht="12.75" customHeight="1" x14ac:dyDescent="0.2">
      <c r="A53" s="163">
        <v>52</v>
      </c>
      <c r="B53" s="179" t="s">
        <v>581</v>
      </c>
      <c r="C53" s="180" t="s">
        <v>11</v>
      </c>
      <c r="D53" s="186">
        <v>43</v>
      </c>
      <c r="E53" s="180" t="s">
        <v>439</v>
      </c>
      <c r="F53" s="180" t="s">
        <v>442</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423</v>
      </c>
      <c r="C58" s="183" t="s">
        <v>3</v>
      </c>
      <c r="D58" s="184">
        <v>0.28000000000000003</v>
      </c>
      <c r="E58" s="185" t="s">
        <v>74</v>
      </c>
      <c r="F58" s="183" t="s">
        <v>74</v>
      </c>
      <c r="G58" s="181">
        <v>1</v>
      </c>
      <c r="H58" s="165">
        <f t="shared" si="1"/>
        <v>0.28000000000000003</v>
      </c>
      <c r="J58" s="166"/>
    </row>
    <row r="59" spans="1:10" ht="12.75" customHeight="1" x14ac:dyDescent="0.2">
      <c r="A59" s="163">
        <v>58</v>
      </c>
      <c r="B59" s="179" t="s">
        <v>421</v>
      </c>
      <c r="C59" s="180" t="s">
        <v>3</v>
      </c>
      <c r="D59" s="186">
        <v>0.24</v>
      </c>
      <c r="E59" s="180" t="s">
        <v>74</v>
      </c>
      <c r="F59" s="180" t="s">
        <v>74</v>
      </c>
      <c r="G59" s="181">
        <v>1</v>
      </c>
      <c r="H59" s="165">
        <f t="shared" si="1"/>
        <v>0.24</v>
      </c>
      <c r="J59" s="166"/>
    </row>
    <row r="60" spans="1:10" ht="12.75" customHeight="1" x14ac:dyDescent="0.2">
      <c r="A60" s="163">
        <v>59</v>
      </c>
      <c r="B60" s="179" t="s">
        <v>422</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438</v>
      </c>
      <c r="F61" s="183" t="s">
        <v>438</v>
      </c>
      <c r="G61" s="181">
        <v>1</v>
      </c>
      <c r="H61" s="165">
        <f t="shared" si="1"/>
        <v>0.11</v>
      </c>
      <c r="J61" s="166"/>
    </row>
    <row r="62" spans="1:10" ht="12.75" customHeight="1" x14ac:dyDescent="0.2">
      <c r="A62" s="163">
        <v>61</v>
      </c>
      <c r="B62" s="210" t="s">
        <v>501</v>
      </c>
      <c r="C62" s="207" t="s">
        <v>39</v>
      </c>
      <c r="D62" s="87">
        <v>320</v>
      </c>
      <c r="E62" s="207" t="s">
        <v>439</v>
      </c>
      <c r="F62" s="169" t="s">
        <v>441</v>
      </c>
      <c r="G62" s="168">
        <v>128</v>
      </c>
      <c r="H62" s="165">
        <f t="shared" si="1"/>
        <v>2.5</v>
      </c>
      <c r="J62" s="166"/>
    </row>
    <row r="63" spans="1:10" ht="12.75" customHeight="1" x14ac:dyDescent="0.2">
      <c r="A63" s="163">
        <v>62</v>
      </c>
      <c r="B63" s="189" t="s">
        <v>540</v>
      </c>
      <c r="C63" s="169" t="s">
        <v>11</v>
      </c>
      <c r="D63" s="170">
        <v>116</v>
      </c>
      <c r="E63" s="171" t="s">
        <v>439</v>
      </c>
      <c r="F63" s="169" t="s">
        <v>441</v>
      </c>
      <c r="G63" s="168">
        <v>128</v>
      </c>
      <c r="H63" s="165">
        <f t="shared" si="1"/>
        <v>0.90625</v>
      </c>
    </row>
    <row r="64" spans="1:10" ht="12.75" customHeight="1" x14ac:dyDescent="0.2">
      <c r="A64" s="163">
        <v>63</v>
      </c>
      <c r="B64" s="182" t="s">
        <v>547</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439</v>
      </c>
      <c r="F65" s="183" t="s">
        <v>441</v>
      </c>
      <c r="G65" s="181">
        <v>128</v>
      </c>
      <c r="H65" s="165">
        <f t="shared" si="1"/>
        <v>0.1484375</v>
      </c>
    </row>
    <row r="66" spans="1:10" ht="12.75" customHeight="1" x14ac:dyDescent="0.2">
      <c r="A66" s="163">
        <v>65</v>
      </c>
      <c r="B66" s="189" t="s">
        <v>499</v>
      </c>
      <c r="C66" s="169" t="s">
        <v>11</v>
      </c>
      <c r="D66" s="170">
        <v>780</v>
      </c>
      <c r="E66" s="171" t="s">
        <v>439</v>
      </c>
      <c r="F66" s="169" t="s">
        <v>441</v>
      </c>
      <c r="G66" s="168">
        <v>128</v>
      </c>
      <c r="H66" s="165">
        <f t="shared" ref="H66:H97" si="2">IF(G66=0,0,D66/G66)</f>
        <v>6.09375</v>
      </c>
    </row>
    <row r="67" spans="1:10" ht="12.75" customHeight="1" x14ac:dyDescent="0.2">
      <c r="A67" s="163">
        <v>66</v>
      </c>
      <c r="B67" s="179" t="s">
        <v>530</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440</v>
      </c>
      <c r="F68" s="183" t="s">
        <v>440</v>
      </c>
      <c r="G68" s="181">
        <v>1</v>
      </c>
      <c r="H68" s="165">
        <f t="shared" si="2"/>
        <v>2.5</v>
      </c>
      <c r="J68" s="166"/>
    </row>
    <row r="69" spans="1:10" ht="12.75" customHeight="1" x14ac:dyDescent="0.2">
      <c r="A69" s="163">
        <v>68</v>
      </c>
      <c r="B69" s="182" t="s">
        <v>42</v>
      </c>
      <c r="C69" s="183" t="s">
        <v>21</v>
      </c>
      <c r="D69" s="184">
        <v>50</v>
      </c>
      <c r="E69" s="185" t="s">
        <v>439</v>
      </c>
      <c r="F69" s="187" t="s">
        <v>442</v>
      </c>
      <c r="G69" s="181">
        <v>8</v>
      </c>
      <c r="H69" s="165">
        <f t="shared" si="2"/>
        <v>6.25</v>
      </c>
      <c r="J69" s="166"/>
    </row>
    <row r="70" spans="1:10" ht="12.75" customHeight="1" x14ac:dyDescent="0.2">
      <c r="A70" s="163">
        <v>69</v>
      </c>
      <c r="B70" s="179" t="s">
        <v>492</v>
      </c>
      <c r="C70" s="180" t="s">
        <v>11</v>
      </c>
      <c r="D70" s="186">
        <v>75</v>
      </c>
      <c r="E70" s="180" t="s">
        <v>439</v>
      </c>
      <c r="F70" s="180" t="s">
        <v>443</v>
      </c>
      <c r="G70" s="181">
        <v>4</v>
      </c>
      <c r="H70" s="165">
        <f t="shared" si="2"/>
        <v>18.75</v>
      </c>
    </row>
    <row r="71" spans="1:10" ht="12.75" customHeight="1" x14ac:dyDescent="0.2">
      <c r="A71" s="163">
        <v>70</v>
      </c>
      <c r="B71" s="182" t="s">
        <v>43</v>
      </c>
      <c r="C71" s="183" t="s">
        <v>19</v>
      </c>
      <c r="D71" s="184">
        <v>0.6</v>
      </c>
      <c r="E71" s="185" t="s">
        <v>440</v>
      </c>
      <c r="F71" s="183" t="s">
        <v>440</v>
      </c>
      <c r="G71" s="181">
        <v>1</v>
      </c>
      <c r="H71" s="165">
        <f t="shared" si="2"/>
        <v>0.6</v>
      </c>
    </row>
    <row r="72" spans="1:10" ht="12.75" customHeight="1" x14ac:dyDescent="0.2">
      <c r="A72" s="163">
        <v>71</v>
      </c>
      <c r="B72" s="182" t="s">
        <v>44</v>
      </c>
      <c r="C72" s="183" t="s">
        <v>29</v>
      </c>
      <c r="D72" s="184">
        <v>20</v>
      </c>
      <c r="E72" s="185" t="s">
        <v>444</v>
      </c>
      <c r="F72" s="183" t="s">
        <v>444</v>
      </c>
      <c r="G72" s="181">
        <v>1</v>
      </c>
      <c r="H72" s="165">
        <f t="shared" si="2"/>
        <v>20</v>
      </c>
    </row>
    <row r="73" spans="1:10" ht="12.75" customHeight="1" x14ac:dyDescent="0.2">
      <c r="A73" s="163">
        <v>72</v>
      </c>
      <c r="B73" s="182" t="s">
        <v>465</v>
      </c>
      <c r="C73" s="183" t="s">
        <v>21</v>
      </c>
      <c r="D73" s="184">
        <v>190</v>
      </c>
      <c r="E73" s="185" t="s">
        <v>439</v>
      </c>
      <c r="F73" s="183" t="s">
        <v>441</v>
      </c>
      <c r="G73" s="181">
        <v>128</v>
      </c>
      <c r="H73" s="165">
        <f t="shared" si="2"/>
        <v>1.484375</v>
      </c>
    </row>
    <row r="74" spans="1:10" ht="12.75" customHeight="1" x14ac:dyDescent="0.2">
      <c r="A74" s="163">
        <v>73</v>
      </c>
      <c r="B74" s="182" t="s">
        <v>45</v>
      </c>
      <c r="C74" s="183" t="s">
        <v>529</v>
      </c>
      <c r="D74" s="186">
        <v>23</v>
      </c>
      <c r="E74" s="197" t="s">
        <v>439</v>
      </c>
      <c r="F74" s="187" t="s">
        <v>441</v>
      </c>
      <c r="G74" s="181">
        <v>128</v>
      </c>
      <c r="H74" s="165">
        <f t="shared" si="2"/>
        <v>0.1796875</v>
      </c>
      <c r="J74" s="166"/>
    </row>
    <row r="75" spans="1:10" ht="12.75" customHeight="1" x14ac:dyDescent="0.2">
      <c r="A75" s="163">
        <v>74</v>
      </c>
      <c r="B75" s="182" t="s">
        <v>46</v>
      </c>
      <c r="C75" s="183" t="s">
        <v>19</v>
      </c>
      <c r="D75" s="184">
        <v>9</v>
      </c>
      <c r="E75" s="185" t="s">
        <v>438</v>
      </c>
      <c r="F75" s="183" t="s">
        <v>438</v>
      </c>
      <c r="G75" s="181">
        <v>1</v>
      </c>
      <c r="H75" s="165">
        <f t="shared" si="2"/>
        <v>9</v>
      </c>
      <c r="J75" s="166"/>
    </row>
    <row r="76" spans="1:10" ht="12.75" customHeight="1" x14ac:dyDescent="0.2">
      <c r="A76" s="163">
        <v>75</v>
      </c>
      <c r="B76" s="179" t="s">
        <v>462</v>
      </c>
      <c r="C76" s="180" t="s">
        <v>11</v>
      </c>
      <c r="D76" s="186">
        <v>140</v>
      </c>
      <c r="E76" s="180" t="s">
        <v>439</v>
      </c>
      <c r="F76" s="180" t="s">
        <v>441</v>
      </c>
      <c r="G76" s="181">
        <v>128</v>
      </c>
      <c r="H76" s="165">
        <f t="shared" si="2"/>
        <v>1.09375</v>
      </c>
      <c r="J76" s="166"/>
    </row>
    <row r="77" spans="1:10" x14ac:dyDescent="0.2">
      <c r="A77" s="163">
        <v>76</v>
      </c>
      <c r="B77" s="210" t="s">
        <v>561</v>
      </c>
      <c r="C77" s="207" t="s">
        <v>39</v>
      </c>
      <c r="D77" s="87">
        <v>8</v>
      </c>
      <c r="E77" s="207" t="s">
        <v>440</v>
      </c>
      <c r="F77" s="207" t="s">
        <v>440</v>
      </c>
      <c r="G77" s="168">
        <v>1</v>
      </c>
      <c r="H77" s="165">
        <f t="shared" si="2"/>
        <v>8</v>
      </c>
      <c r="J77" s="166"/>
    </row>
    <row r="78" spans="1:10" x14ac:dyDescent="0.2">
      <c r="A78" s="163">
        <v>77</v>
      </c>
      <c r="B78" s="182" t="s">
        <v>47</v>
      </c>
      <c r="C78" s="183" t="s">
        <v>11</v>
      </c>
      <c r="D78" s="186">
        <v>16</v>
      </c>
      <c r="E78" s="180" t="s">
        <v>441</v>
      </c>
      <c r="F78" s="183" t="s">
        <v>441</v>
      </c>
      <c r="G78" s="181">
        <v>1</v>
      </c>
      <c r="H78" s="165">
        <f t="shared" si="2"/>
        <v>16</v>
      </c>
      <c r="J78" s="166"/>
    </row>
    <row r="79" spans="1:10" x14ac:dyDescent="0.2">
      <c r="A79" s="163">
        <v>78</v>
      </c>
      <c r="B79" s="210" t="s">
        <v>560</v>
      </c>
      <c r="C79" s="207" t="s">
        <v>19</v>
      </c>
      <c r="D79" s="87">
        <v>18</v>
      </c>
      <c r="E79" s="207" t="s">
        <v>438</v>
      </c>
      <c r="F79" s="207" t="s">
        <v>438</v>
      </c>
      <c r="G79" s="168">
        <v>1</v>
      </c>
      <c r="H79" s="165">
        <f t="shared" si="2"/>
        <v>18</v>
      </c>
      <c r="J79" s="166"/>
    </row>
    <row r="80" spans="1:10" x14ac:dyDescent="0.2">
      <c r="A80" s="163">
        <v>79</v>
      </c>
      <c r="B80" s="189" t="s">
        <v>541</v>
      </c>
      <c r="C80" s="169" t="s">
        <v>39</v>
      </c>
      <c r="D80" s="170">
        <v>650</v>
      </c>
      <c r="E80" s="171" t="s">
        <v>439</v>
      </c>
      <c r="F80" s="169" t="s">
        <v>441</v>
      </c>
      <c r="G80" s="168">
        <v>128</v>
      </c>
      <c r="H80" s="165">
        <f t="shared" si="2"/>
        <v>5.078125</v>
      </c>
    </row>
    <row r="81" spans="1:10" x14ac:dyDescent="0.2">
      <c r="A81" s="163">
        <v>80</v>
      </c>
      <c r="B81" s="182" t="s">
        <v>463</v>
      </c>
      <c r="C81" s="183" t="s">
        <v>11</v>
      </c>
      <c r="D81" s="186">
        <v>49</v>
      </c>
      <c r="E81" s="180" t="s">
        <v>439</v>
      </c>
      <c r="F81" s="183" t="s">
        <v>442</v>
      </c>
      <c r="G81" s="181">
        <v>8</v>
      </c>
      <c r="H81" s="165">
        <f t="shared" si="2"/>
        <v>6.125</v>
      </c>
      <c r="J81" s="166"/>
    </row>
    <row r="82" spans="1:10" x14ac:dyDescent="0.2">
      <c r="A82" s="163">
        <v>81</v>
      </c>
      <c r="B82" s="182" t="s">
        <v>48</v>
      </c>
      <c r="C82" s="183" t="s">
        <v>11</v>
      </c>
      <c r="D82" s="186">
        <v>480</v>
      </c>
      <c r="E82" s="180" t="s">
        <v>439</v>
      </c>
      <c r="F82" s="183" t="s">
        <v>441</v>
      </c>
      <c r="G82" s="181">
        <v>128</v>
      </c>
      <c r="H82" s="165">
        <f t="shared" si="2"/>
        <v>3.75</v>
      </c>
      <c r="J82" s="166"/>
    </row>
    <row r="83" spans="1:10" x14ac:dyDescent="0.2">
      <c r="A83" s="163">
        <v>82</v>
      </c>
      <c r="B83" s="179" t="s">
        <v>528</v>
      </c>
      <c r="C83" s="180" t="s">
        <v>39</v>
      </c>
      <c r="D83" s="186">
        <v>425</v>
      </c>
      <c r="E83" s="180" t="s">
        <v>439</v>
      </c>
      <c r="F83" s="180" t="s">
        <v>441</v>
      </c>
      <c r="G83" s="181">
        <v>128</v>
      </c>
      <c r="H83" s="165">
        <f t="shared" si="2"/>
        <v>3.3203125</v>
      </c>
      <c r="J83" s="166"/>
    </row>
    <row r="84" spans="1:10" x14ac:dyDescent="0.2">
      <c r="A84" s="163">
        <v>83</v>
      </c>
      <c r="B84" s="182" t="s">
        <v>543</v>
      </c>
      <c r="C84" s="183" t="s">
        <v>39</v>
      </c>
      <c r="D84" s="184">
        <v>280</v>
      </c>
      <c r="E84" s="185" t="s">
        <v>439</v>
      </c>
      <c r="F84" s="183" t="s">
        <v>441</v>
      </c>
      <c r="G84" s="181">
        <v>128</v>
      </c>
      <c r="H84" s="165">
        <f t="shared" si="2"/>
        <v>2.1875</v>
      </c>
      <c r="J84" s="166"/>
    </row>
    <row r="85" spans="1:10" x14ac:dyDescent="0.2">
      <c r="A85" s="163">
        <v>84</v>
      </c>
      <c r="B85" s="179" t="s">
        <v>461</v>
      </c>
      <c r="C85" s="180" t="s">
        <v>11</v>
      </c>
      <c r="D85" s="186">
        <v>610</v>
      </c>
      <c r="E85" s="180" t="s">
        <v>439</v>
      </c>
      <c r="F85" s="180" t="s">
        <v>441</v>
      </c>
      <c r="G85" s="181">
        <v>128</v>
      </c>
      <c r="H85" s="165">
        <f t="shared" si="2"/>
        <v>4.765625</v>
      </c>
      <c r="J85" s="166"/>
    </row>
    <row r="86" spans="1:10" ht="14.25" customHeight="1" x14ac:dyDescent="0.2">
      <c r="A86" s="163">
        <v>85</v>
      </c>
      <c r="B86" s="182" t="s">
        <v>49</v>
      </c>
      <c r="C86" s="183" t="s">
        <v>21</v>
      </c>
      <c r="D86" s="184">
        <v>9.3000000000000007</v>
      </c>
      <c r="E86" s="185" t="s">
        <v>441</v>
      </c>
      <c r="F86" s="183" t="s">
        <v>441</v>
      </c>
      <c r="G86" s="181">
        <v>1</v>
      </c>
      <c r="H86" s="165">
        <f t="shared" si="2"/>
        <v>9.3000000000000007</v>
      </c>
      <c r="J86" s="166"/>
    </row>
    <row r="87" spans="1:10" x14ac:dyDescent="0.2">
      <c r="A87" s="163">
        <v>86</v>
      </c>
      <c r="B87" s="179" t="s">
        <v>533</v>
      </c>
      <c r="C87" s="180" t="s">
        <v>11</v>
      </c>
      <c r="D87" s="87">
        <v>40</v>
      </c>
      <c r="E87" s="180" t="s">
        <v>439</v>
      </c>
      <c r="F87" s="180" t="s">
        <v>441</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0" t="s">
        <v>577</v>
      </c>
      <c r="C89" s="207" t="s">
        <v>19</v>
      </c>
      <c r="D89" s="87">
        <v>55</v>
      </c>
      <c r="E89" s="207" t="s">
        <v>77</v>
      </c>
      <c r="F89" s="207" t="s">
        <v>77</v>
      </c>
      <c r="G89" s="168">
        <v>1</v>
      </c>
      <c r="H89" s="165">
        <f t="shared" si="2"/>
        <v>55</v>
      </c>
    </row>
    <row r="90" spans="1:10" x14ac:dyDescent="0.2">
      <c r="A90" s="163">
        <v>89</v>
      </c>
      <c r="B90" s="182" t="s">
        <v>495</v>
      </c>
      <c r="C90" s="183" t="s">
        <v>19</v>
      </c>
      <c r="D90" s="184">
        <v>47</v>
      </c>
      <c r="E90" s="185" t="s">
        <v>77</v>
      </c>
      <c r="F90" s="183" t="s">
        <v>77</v>
      </c>
      <c r="G90" s="181">
        <v>1</v>
      </c>
      <c r="H90" s="165">
        <f t="shared" si="2"/>
        <v>47</v>
      </c>
      <c r="J90" s="166"/>
    </row>
    <row r="91" spans="1:10" x14ac:dyDescent="0.2">
      <c r="A91" s="163">
        <v>90</v>
      </c>
      <c r="B91" s="291" t="s">
        <v>578</v>
      </c>
      <c r="C91" s="291" t="s">
        <v>19</v>
      </c>
      <c r="D91" s="287">
        <v>58</v>
      </c>
      <c r="E91" s="291" t="s">
        <v>440</v>
      </c>
      <c r="F91" s="291" t="s">
        <v>440</v>
      </c>
      <c r="G91" s="168">
        <v>1</v>
      </c>
      <c r="H91" s="165">
        <f t="shared" si="2"/>
        <v>58</v>
      </c>
      <c r="J91" s="166"/>
    </row>
    <row r="92" spans="1:10" x14ac:dyDescent="0.2">
      <c r="A92" s="163">
        <v>91</v>
      </c>
      <c r="B92" s="283" t="s">
        <v>500</v>
      </c>
      <c r="C92" s="284" t="s">
        <v>11</v>
      </c>
      <c r="D92" s="285">
        <v>40</v>
      </c>
      <c r="E92" s="286" t="s">
        <v>439</v>
      </c>
      <c r="F92" s="284" t="s">
        <v>443</v>
      </c>
      <c r="G92" s="168">
        <v>4</v>
      </c>
      <c r="H92" s="165">
        <f t="shared" si="2"/>
        <v>10</v>
      </c>
      <c r="J92" s="166"/>
    </row>
    <row r="93" spans="1:10" x14ac:dyDescent="0.2">
      <c r="A93" s="163">
        <v>92</v>
      </c>
      <c r="B93" s="205" t="s">
        <v>453</v>
      </c>
      <c r="C93" s="180" t="s">
        <v>408</v>
      </c>
      <c r="D93" s="259">
        <v>10</v>
      </c>
      <c r="E93" s="205" t="s">
        <v>72</v>
      </c>
      <c r="F93" s="180" t="s">
        <v>72</v>
      </c>
      <c r="G93" s="181">
        <v>1</v>
      </c>
      <c r="H93" s="165">
        <f t="shared" si="2"/>
        <v>10</v>
      </c>
      <c r="J93" s="166"/>
    </row>
    <row r="94" spans="1:10" x14ac:dyDescent="0.2">
      <c r="A94" s="163">
        <v>93</v>
      </c>
      <c r="B94" s="205" t="s">
        <v>474</v>
      </c>
      <c r="C94" s="180" t="s">
        <v>408</v>
      </c>
      <c r="D94" s="259">
        <v>7</v>
      </c>
      <c r="E94" s="205" t="s">
        <v>72</v>
      </c>
      <c r="F94" s="180" t="s">
        <v>72</v>
      </c>
      <c r="G94" s="181">
        <v>1</v>
      </c>
      <c r="H94" s="165">
        <f t="shared" si="2"/>
        <v>7</v>
      </c>
      <c r="J94" s="166"/>
    </row>
    <row r="95" spans="1:10" x14ac:dyDescent="0.2">
      <c r="A95" s="163">
        <v>94</v>
      </c>
      <c r="B95" s="180" t="s">
        <v>478</v>
      </c>
      <c r="C95" s="180" t="s">
        <v>408</v>
      </c>
      <c r="D95" s="259">
        <v>7</v>
      </c>
      <c r="E95" s="205" t="s">
        <v>72</v>
      </c>
      <c r="F95" s="180" t="s">
        <v>72</v>
      </c>
      <c r="G95" s="181">
        <v>1</v>
      </c>
      <c r="H95" s="165">
        <f t="shared" si="2"/>
        <v>7</v>
      </c>
      <c r="J95" s="166"/>
    </row>
    <row r="96" spans="1:10" x14ac:dyDescent="0.2">
      <c r="A96" s="163">
        <v>95</v>
      </c>
      <c r="B96" s="205" t="s">
        <v>455</v>
      </c>
      <c r="C96" s="205" t="s">
        <v>408</v>
      </c>
      <c r="D96" s="259">
        <v>7</v>
      </c>
      <c r="E96" s="205" t="s">
        <v>72</v>
      </c>
      <c r="F96" s="205" t="s">
        <v>72</v>
      </c>
      <c r="G96" s="181">
        <v>1</v>
      </c>
      <c r="H96" s="165">
        <f t="shared" si="2"/>
        <v>7</v>
      </c>
      <c r="J96" s="166"/>
    </row>
    <row r="97" spans="1:10" x14ac:dyDescent="0.2">
      <c r="A97" s="163">
        <v>96</v>
      </c>
      <c r="B97" s="180" t="s">
        <v>451</v>
      </c>
      <c r="C97" s="180" t="s">
        <v>408</v>
      </c>
      <c r="D97" s="186">
        <v>10</v>
      </c>
      <c r="E97" s="180" t="s">
        <v>72</v>
      </c>
      <c r="F97" s="180" t="s">
        <v>72</v>
      </c>
      <c r="G97" s="181">
        <v>1</v>
      </c>
      <c r="H97" s="165">
        <f t="shared" si="2"/>
        <v>10</v>
      </c>
      <c r="J97" s="166"/>
    </row>
    <row r="98" spans="1:10" x14ac:dyDescent="0.2">
      <c r="A98" s="163">
        <v>97</v>
      </c>
      <c r="B98" s="180" t="s">
        <v>452</v>
      </c>
      <c r="C98" s="180" t="s">
        <v>408</v>
      </c>
      <c r="D98" s="186">
        <v>10</v>
      </c>
      <c r="E98" s="180" t="s">
        <v>72</v>
      </c>
      <c r="F98" s="180" t="s">
        <v>72</v>
      </c>
      <c r="G98" s="181">
        <v>1</v>
      </c>
      <c r="H98" s="165">
        <f t="shared" ref="H98:H123" si="3">IF(G98=0,0,D98/G98)</f>
        <v>10</v>
      </c>
      <c r="J98" s="166"/>
    </row>
    <row r="99" spans="1:10" x14ac:dyDescent="0.2">
      <c r="A99" s="163">
        <v>98</v>
      </c>
      <c r="B99" s="205" t="s">
        <v>454</v>
      </c>
      <c r="C99" s="205" t="s">
        <v>408</v>
      </c>
      <c r="D99" s="259">
        <v>16</v>
      </c>
      <c r="E99" s="205" t="s">
        <v>72</v>
      </c>
      <c r="F99" s="205" t="s">
        <v>72</v>
      </c>
      <c r="G99" s="181">
        <v>1</v>
      </c>
      <c r="H99" s="165">
        <f t="shared" si="3"/>
        <v>16</v>
      </c>
      <c r="J99" s="166"/>
    </row>
    <row r="100" spans="1:10" x14ac:dyDescent="0.2">
      <c r="A100" s="163">
        <v>99</v>
      </c>
      <c r="B100" s="304" t="s">
        <v>456</v>
      </c>
      <c r="C100" s="284" t="s">
        <v>408</v>
      </c>
      <c r="D100" s="285">
        <v>8</v>
      </c>
      <c r="E100" s="286" t="s">
        <v>72</v>
      </c>
      <c r="F100" s="284" t="s">
        <v>72</v>
      </c>
      <c r="G100" s="168">
        <v>1</v>
      </c>
      <c r="H100" s="165">
        <f t="shared" si="3"/>
        <v>8</v>
      </c>
      <c r="J100" s="166"/>
    </row>
    <row r="101" spans="1:10" x14ac:dyDescent="0.2">
      <c r="A101" s="163">
        <v>100</v>
      </c>
      <c r="B101" s="191" t="s">
        <v>51</v>
      </c>
      <c r="C101" s="206" t="s">
        <v>34</v>
      </c>
      <c r="D101" s="208">
        <v>13</v>
      </c>
      <c r="E101" s="209" t="s">
        <v>72</v>
      </c>
      <c r="F101" s="206" t="s">
        <v>72</v>
      </c>
      <c r="G101" s="181">
        <v>1</v>
      </c>
      <c r="H101" s="165">
        <f t="shared" si="3"/>
        <v>13</v>
      </c>
      <c r="J101" s="166"/>
    </row>
    <row r="102" spans="1:10" x14ac:dyDescent="0.2">
      <c r="A102" s="163">
        <v>101</v>
      </c>
      <c r="B102" s="191" t="s">
        <v>52</v>
      </c>
      <c r="C102" s="206" t="s">
        <v>11</v>
      </c>
      <c r="D102" s="259">
        <v>110</v>
      </c>
      <c r="E102" s="205" t="s">
        <v>439</v>
      </c>
      <c r="F102" s="206" t="s">
        <v>441</v>
      </c>
      <c r="G102" s="181">
        <v>128</v>
      </c>
      <c r="H102" s="165">
        <f t="shared" si="3"/>
        <v>0.859375</v>
      </c>
      <c r="J102" s="166"/>
    </row>
    <row r="103" spans="1:10" x14ac:dyDescent="0.2">
      <c r="A103" s="163">
        <v>102</v>
      </c>
      <c r="B103" s="291" t="s">
        <v>562</v>
      </c>
      <c r="C103" s="291" t="s">
        <v>11</v>
      </c>
      <c r="D103" s="287">
        <v>830</v>
      </c>
      <c r="E103" s="291" t="s">
        <v>439</v>
      </c>
      <c r="F103" s="291" t="s">
        <v>441</v>
      </c>
      <c r="G103" s="168">
        <v>128</v>
      </c>
      <c r="H103" s="165">
        <f t="shared" si="3"/>
        <v>6.484375</v>
      </c>
      <c r="J103" s="166"/>
    </row>
    <row r="104" spans="1:10" x14ac:dyDescent="0.2">
      <c r="A104" s="163">
        <v>103</v>
      </c>
      <c r="B104" s="191" t="s">
        <v>53</v>
      </c>
      <c r="C104" s="206" t="s">
        <v>19</v>
      </c>
      <c r="D104" s="208">
        <v>3</v>
      </c>
      <c r="E104" s="209" t="s">
        <v>440</v>
      </c>
      <c r="F104" s="206" t="s">
        <v>440</v>
      </c>
      <c r="G104" s="181">
        <v>1</v>
      </c>
      <c r="H104" s="165">
        <f t="shared" si="3"/>
        <v>3</v>
      </c>
      <c r="J104" s="166"/>
    </row>
    <row r="105" spans="1:10" x14ac:dyDescent="0.2">
      <c r="A105" s="163">
        <v>104</v>
      </c>
      <c r="B105" s="191" t="s">
        <v>54</v>
      </c>
      <c r="C105" s="206" t="s">
        <v>19</v>
      </c>
      <c r="D105" s="208">
        <v>1.2</v>
      </c>
      <c r="E105" s="209" t="s">
        <v>440</v>
      </c>
      <c r="F105" s="206" t="s">
        <v>440</v>
      </c>
      <c r="G105" s="181">
        <v>1</v>
      </c>
      <c r="H105" s="165">
        <f t="shared" si="3"/>
        <v>1.2</v>
      </c>
      <c r="J105" s="166"/>
    </row>
    <row r="106" spans="1:10" x14ac:dyDescent="0.2">
      <c r="A106" s="163">
        <v>105</v>
      </c>
      <c r="B106" s="191" t="s">
        <v>398</v>
      </c>
      <c r="C106" s="206" t="s">
        <v>11</v>
      </c>
      <c r="D106" s="259">
        <v>750</v>
      </c>
      <c r="E106" s="205" t="s">
        <v>439</v>
      </c>
      <c r="F106" s="206" t="s">
        <v>441</v>
      </c>
      <c r="G106" s="181">
        <v>128</v>
      </c>
      <c r="H106" s="165">
        <f t="shared" si="3"/>
        <v>5.859375</v>
      </c>
      <c r="J106" s="166"/>
    </row>
    <row r="107" spans="1:10" x14ac:dyDescent="0.2">
      <c r="A107" s="163">
        <v>106</v>
      </c>
      <c r="B107" s="191" t="s">
        <v>55</v>
      </c>
      <c r="C107" s="206" t="s">
        <v>11</v>
      </c>
      <c r="D107" s="259">
        <v>14</v>
      </c>
      <c r="E107" s="205" t="s">
        <v>441</v>
      </c>
      <c r="F107" s="206" t="s">
        <v>441</v>
      </c>
      <c r="G107" s="181">
        <v>1</v>
      </c>
      <c r="H107" s="165">
        <f t="shared" si="3"/>
        <v>14</v>
      </c>
      <c r="J107" s="166"/>
    </row>
    <row r="108" spans="1:10" x14ac:dyDescent="0.2">
      <c r="A108" s="163">
        <v>107</v>
      </c>
      <c r="B108" s="191" t="s">
        <v>56</v>
      </c>
      <c r="C108" s="206" t="s">
        <v>3</v>
      </c>
      <c r="D108" s="208">
        <v>7</v>
      </c>
      <c r="E108" s="209" t="s">
        <v>72</v>
      </c>
      <c r="F108" s="206" t="s">
        <v>72</v>
      </c>
      <c r="G108" s="181">
        <v>1</v>
      </c>
      <c r="H108" s="165">
        <f t="shared" si="3"/>
        <v>7</v>
      </c>
      <c r="J108" s="166"/>
    </row>
    <row r="109" spans="1:10" x14ac:dyDescent="0.2">
      <c r="A109" s="163">
        <v>108</v>
      </c>
      <c r="B109" s="291" t="s">
        <v>498</v>
      </c>
      <c r="C109" s="291" t="s">
        <v>11</v>
      </c>
      <c r="D109" s="287">
        <v>3.9</v>
      </c>
      <c r="E109" s="291" t="s">
        <v>441</v>
      </c>
      <c r="F109" s="291" t="s">
        <v>441</v>
      </c>
      <c r="G109" s="168">
        <v>1</v>
      </c>
      <c r="H109" s="165">
        <f t="shared" si="3"/>
        <v>3.9</v>
      </c>
      <c r="J109" s="166"/>
    </row>
    <row r="110" spans="1:10" x14ac:dyDescent="0.2">
      <c r="A110" s="163">
        <v>109</v>
      </c>
      <c r="B110" s="283" t="s">
        <v>539</v>
      </c>
      <c r="C110" s="284" t="s">
        <v>39</v>
      </c>
      <c r="D110" s="287">
        <v>720</v>
      </c>
      <c r="E110" s="286" t="s">
        <v>439</v>
      </c>
      <c r="F110" s="284" t="s">
        <v>441</v>
      </c>
      <c r="G110" s="168">
        <v>128</v>
      </c>
      <c r="H110" s="165">
        <f t="shared" si="3"/>
        <v>5.625</v>
      </c>
      <c r="J110" s="166"/>
    </row>
    <row r="111" spans="1:10" x14ac:dyDescent="0.2">
      <c r="A111" s="163">
        <v>110</v>
      </c>
      <c r="B111" s="191" t="s">
        <v>57</v>
      </c>
      <c r="C111" s="206" t="s">
        <v>19</v>
      </c>
      <c r="D111" s="208">
        <v>180</v>
      </c>
      <c r="E111" s="209" t="s">
        <v>72</v>
      </c>
      <c r="F111" s="206" t="s">
        <v>72</v>
      </c>
      <c r="G111" s="181">
        <v>1</v>
      </c>
      <c r="H111" s="165">
        <f t="shared" si="3"/>
        <v>180</v>
      </c>
    </row>
    <row r="112" spans="1:10" x14ac:dyDescent="0.2">
      <c r="A112" s="163">
        <v>111</v>
      </c>
      <c r="B112" s="191" t="s">
        <v>58</v>
      </c>
      <c r="C112" s="206" t="s">
        <v>19</v>
      </c>
      <c r="D112" s="208">
        <v>1.05</v>
      </c>
      <c r="E112" s="209" t="s">
        <v>440</v>
      </c>
      <c r="F112" s="183" t="s">
        <v>440</v>
      </c>
      <c r="G112" s="181">
        <v>1</v>
      </c>
      <c r="H112" s="165">
        <f t="shared" si="3"/>
        <v>1.05</v>
      </c>
    </row>
    <row r="113" spans="1:8" x14ac:dyDescent="0.2">
      <c r="A113" s="163">
        <v>112</v>
      </c>
      <c r="B113" s="182" t="s">
        <v>59</v>
      </c>
      <c r="C113" s="183" t="s">
        <v>39</v>
      </c>
      <c r="D113" s="184">
        <v>105</v>
      </c>
      <c r="E113" s="185" t="s">
        <v>439</v>
      </c>
      <c r="F113" s="187" t="s">
        <v>441</v>
      </c>
      <c r="G113" s="181">
        <v>128</v>
      </c>
      <c r="H113" s="165">
        <f t="shared" si="3"/>
        <v>0.8203125</v>
      </c>
    </row>
    <row r="114" spans="1:8" x14ac:dyDescent="0.2">
      <c r="A114" s="163">
        <v>113</v>
      </c>
      <c r="B114" s="191" t="s">
        <v>60</v>
      </c>
      <c r="C114" s="206" t="s">
        <v>29</v>
      </c>
      <c r="D114" s="208">
        <v>0.7</v>
      </c>
      <c r="E114" s="209" t="s">
        <v>73</v>
      </c>
      <c r="F114" s="206" t="s">
        <v>65</v>
      </c>
      <c r="G114" s="181">
        <f>1539/2000</f>
        <v>0.76949999999999996</v>
      </c>
      <c r="H114" s="165">
        <f t="shared" si="3"/>
        <v>0.90968161143599735</v>
      </c>
    </row>
    <row r="115" spans="1:8" x14ac:dyDescent="0.2">
      <c r="A115" s="163">
        <v>114</v>
      </c>
      <c r="B115" s="191" t="s">
        <v>61</v>
      </c>
      <c r="C115" s="206" t="s">
        <v>29</v>
      </c>
      <c r="D115" s="208">
        <v>1.23</v>
      </c>
      <c r="E115" s="209" t="s">
        <v>73</v>
      </c>
      <c r="F115" s="206" t="s">
        <v>65</v>
      </c>
      <c r="G115" s="181">
        <f>1362/2000</f>
        <v>0.68100000000000005</v>
      </c>
      <c r="H115" s="165">
        <f t="shared" si="3"/>
        <v>1.8061674008810571</v>
      </c>
    </row>
    <row r="116" spans="1:8" x14ac:dyDescent="0.2">
      <c r="A116" s="163">
        <v>115</v>
      </c>
      <c r="B116" s="191" t="s">
        <v>62</v>
      </c>
      <c r="C116" s="206" t="s">
        <v>29</v>
      </c>
      <c r="D116" s="208">
        <f>30/450</f>
        <v>6.6666666666666666E-2</v>
      </c>
      <c r="E116" s="209" t="s">
        <v>73</v>
      </c>
      <c r="F116" s="206" t="s">
        <v>65</v>
      </c>
      <c r="G116" s="181">
        <f>60/2000</f>
        <v>0.03</v>
      </c>
      <c r="H116" s="165">
        <f t="shared" si="3"/>
        <v>2.2222222222222223</v>
      </c>
    </row>
    <row r="117" spans="1:8" x14ac:dyDescent="0.2">
      <c r="A117" s="163">
        <v>116</v>
      </c>
      <c r="B117" s="191" t="s">
        <v>63</v>
      </c>
      <c r="C117" s="206" t="s">
        <v>7</v>
      </c>
      <c r="D117" s="208">
        <v>1</v>
      </c>
      <c r="E117" s="209" t="s">
        <v>65</v>
      </c>
      <c r="F117" s="206" t="s">
        <v>65</v>
      </c>
      <c r="G117" s="181">
        <v>1</v>
      </c>
      <c r="H117" s="165">
        <f t="shared" si="3"/>
        <v>1</v>
      </c>
    </row>
    <row r="118" spans="1:8" x14ac:dyDescent="0.2">
      <c r="A118" s="163">
        <v>117</v>
      </c>
      <c r="B118" s="283" t="s">
        <v>502</v>
      </c>
      <c r="C118" s="284" t="s">
        <v>11</v>
      </c>
      <c r="D118" s="285">
        <v>83</v>
      </c>
      <c r="E118" s="286" t="s">
        <v>440</v>
      </c>
      <c r="F118" s="284" t="s">
        <v>441</v>
      </c>
      <c r="G118" s="168">
        <v>16</v>
      </c>
      <c r="H118" s="165">
        <f t="shared" si="3"/>
        <v>5.1875</v>
      </c>
    </row>
    <row r="119" spans="1:8" x14ac:dyDescent="0.2">
      <c r="A119" s="163">
        <v>118</v>
      </c>
      <c r="B119" s="205" t="s">
        <v>555</v>
      </c>
      <c r="C119" s="205" t="s">
        <v>11</v>
      </c>
      <c r="D119" s="259">
        <v>35</v>
      </c>
      <c r="E119" s="205" t="s">
        <v>440</v>
      </c>
      <c r="F119" s="205" t="s">
        <v>440</v>
      </c>
      <c r="G119" s="181">
        <v>1</v>
      </c>
      <c r="H119" s="165">
        <f t="shared" si="3"/>
        <v>35</v>
      </c>
    </row>
    <row r="120" spans="1:8" x14ac:dyDescent="0.2">
      <c r="A120" s="163">
        <v>119</v>
      </c>
      <c r="B120" s="291" t="s">
        <v>559</v>
      </c>
      <c r="C120" s="291" t="s">
        <v>11</v>
      </c>
      <c r="D120" s="287">
        <v>500</v>
      </c>
      <c r="E120" s="291" t="s">
        <v>439</v>
      </c>
      <c r="F120" s="291" t="s">
        <v>441</v>
      </c>
      <c r="G120" s="168">
        <v>128</v>
      </c>
      <c r="H120" s="165">
        <f t="shared" si="3"/>
        <v>3.90625</v>
      </c>
    </row>
    <row r="121" spans="1:8" x14ac:dyDescent="0.2">
      <c r="A121" s="163">
        <v>120</v>
      </c>
      <c r="B121" s="191" t="s">
        <v>426</v>
      </c>
      <c r="C121" s="206" t="s">
        <v>21</v>
      </c>
      <c r="D121" s="208">
        <v>380</v>
      </c>
      <c r="E121" s="209" t="s">
        <v>439</v>
      </c>
      <c r="F121" s="206" t="s">
        <v>441</v>
      </c>
      <c r="G121" s="181">
        <v>128</v>
      </c>
      <c r="H121" s="165">
        <f t="shared" si="3"/>
        <v>2.96875</v>
      </c>
    </row>
    <row r="122" spans="1:8" x14ac:dyDescent="0.2">
      <c r="A122" s="163">
        <v>121</v>
      </c>
      <c r="B122" s="174" t="s">
        <v>595</v>
      </c>
      <c r="C122" s="174" t="s">
        <v>19</v>
      </c>
      <c r="D122" s="172">
        <v>0.12</v>
      </c>
      <c r="E122" s="174" t="s">
        <v>440</v>
      </c>
      <c r="F122" s="174" t="s">
        <v>440</v>
      </c>
      <c r="G122" s="302">
        <v>1</v>
      </c>
      <c r="H122" s="303">
        <f t="shared" si="3"/>
        <v>0.12</v>
      </c>
    </row>
    <row r="123" spans="1:8" x14ac:dyDescent="0.2">
      <c r="A123" s="163">
        <v>122</v>
      </c>
      <c r="B123" s="71" t="s">
        <v>545</v>
      </c>
      <c r="C123" s="71" t="s">
        <v>19</v>
      </c>
      <c r="D123" s="287">
        <v>0.28000000000000003</v>
      </c>
      <c r="E123" s="71" t="s">
        <v>440</v>
      </c>
      <c r="F123" s="284" t="s">
        <v>440</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585</v>
      </c>
      <c r="B2" s="32"/>
      <c r="C2" s="33"/>
      <c r="D2" s="33"/>
      <c r="E2" s="32"/>
      <c r="F2" s="292" t="s">
        <v>569</v>
      </c>
      <c r="G2" s="263" t="s">
        <v>570</v>
      </c>
      <c r="J2" s="23"/>
      <c r="K2" s="24" t="str">
        <f>'General Variables'!A3&amp;" "&amp;'General Variables'!B3</f>
        <v>Year 2015</v>
      </c>
      <c r="O2" s="39" t="s">
        <v>460</v>
      </c>
    </row>
    <row r="3" spans="1:15" hidden="1" x14ac:dyDescent="0.2">
      <c r="A3" s="195" t="s">
        <v>544</v>
      </c>
      <c r="B3" s="32"/>
      <c r="C3" s="33"/>
      <c r="D3" s="33"/>
      <c r="E3" s="32"/>
      <c r="F3" s="33"/>
      <c r="G3" s="38"/>
      <c r="H3" s="202">
        <v>6</v>
      </c>
      <c r="I3" s="32" t="str">
        <f>IF(H3="","","acre-inches")</f>
        <v>acre-inches</v>
      </c>
      <c r="J3" s="23"/>
      <c r="K3" s="23"/>
      <c r="O3" s="39" t="s">
        <v>459</v>
      </c>
    </row>
    <row r="4" spans="1:15" hidden="1" x14ac:dyDescent="0.2">
      <c r="A4" s="195">
        <v>65</v>
      </c>
      <c r="B4" s="195" t="s">
        <v>64</v>
      </c>
      <c r="C4" s="33"/>
      <c r="D4" s="33"/>
      <c r="E4" s="32"/>
      <c r="F4" s="32"/>
      <c r="G4" s="32"/>
      <c r="H4" s="32"/>
      <c r="I4" s="32"/>
      <c r="J4" s="23"/>
      <c r="K4" s="23"/>
      <c r="O4" s="39" t="str">
        <f>B4</f>
        <v>bu</v>
      </c>
    </row>
    <row r="5" spans="1:15" ht="30" customHeight="1" x14ac:dyDescent="0.25">
      <c r="A5" s="337" t="str">
        <f>'General Variables'!B3 &amp; " " &amp; A2 &amp; ", " &amp; A3 &amp; IF(A4=""," ", " (") &amp; A4 &amp; " " &amp; B4 &amp; IF(A4="",""," Actual Yield)")</f>
        <v>2015 Budget 53. Soybeans, No-Till Drilled 7.5" rows, Roundup Ready after Corn (65 bu Actual Yield)</v>
      </c>
      <c r="B5" s="337"/>
      <c r="C5" s="337"/>
      <c r="D5" s="337"/>
      <c r="E5" s="337"/>
      <c r="F5" s="337"/>
      <c r="G5" s="337"/>
      <c r="H5" s="337"/>
      <c r="I5" s="337"/>
      <c r="J5" s="337"/>
      <c r="K5" s="337"/>
      <c r="L5" s="337"/>
      <c r="O5" s="39"/>
    </row>
    <row r="6" spans="1:15" ht="15.75" x14ac:dyDescent="0.25">
      <c r="A6" s="196" t="str">
        <f>IF(F2="Dryland","Dryland",F2 &amp; IF(G2="","",", "&amp;G2)&amp;IF(H3="","",", "&amp;H3&amp;" "&amp;I3))</f>
        <v>Pivot Irrigated, 800 GPM 35 PSI, 6 acre-inches</v>
      </c>
      <c r="B6" s="195"/>
      <c r="C6" s="33"/>
      <c r="D6" s="33"/>
      <c r="E6" s="32"/>
      <c r="F6" s="32"/>
      <c r="G6" s="32"/>
      <c r="H6" s="32"/>
      <c r="I6" s="32"/>
      <c r="J6" s="264" t="s">
        <v>572</v>
      </c>
      <c r="K6" s="293"/>
      <c r="O6" s="39"/>
    </row>
    <row r="8" spans="1:15" s="40" customFormat="1" ht="22.5" customHeight="1" x14ac:dyDescent="0.2">
      <c r="B8" s="333" t="s">
        <v>81</v>
      </c>
      <c r="C8" s="332" t="s">
        <v>1</v>
      </c>
      <c r="D8" s="198"/>
      <c r="E8" s="332" t="str">
        <f>"Labor @ $" &amp;TEXT('General Variables'!B4,"#.00")&amp; " /Hr"</f>
        <v>Labor @ $20.00 /Hr</v>
      </c>
      <c r="F8" s="332" t="str">
        <f>"Fuel @ $" &amp; TEXT('General Variables'!B5,"#.00") &amp; " and Lube"</f>
        <v>Fuel @ $3.25 and Lube</v>
      </c>
      <c r="G8" s="335" t="s">
        <v>82</v>
      </c>
      <c r="H8" s="335"/>
      <c r="I8" s="335" t="s">
        <v>381</v>
      </c>
      <c r="J8" s="335"/>
      <c r="K8" s="335" t="s">
        <v>2</v>
      </c>
      <c r="L8" s="332" t="s">
        <v>401</v>
      </c>
    </row>
    <row r="9" spans="1:15" s="40" customFormat="1" ht="17.25" customHeight="1" thickBot="1" x14ac:dyDescent="0.25">
      <c r="B9" s="334"/>
      <c r="C9" s="331"/>
      <c r="D9" s="199" t="s">
        <v>78</v>
      </c>
      <c r="E9" s="331"/>
      <c r="F9" s="331"/>
      <c r="G9" s="200" t="s">
        <v>83</v>
      </c>
      <c r="H9" s="200" t="s">
        <v>85</v>
      </c>
      <c r="I9" s="200" t="s">
        <v>83</v>
      </c>
      <c r="J9" s="200" t="s">
        <v>85</v>
      </c>
      <c r="K9" s="336"/>
      <c r="L9" s="331"/>
    </row>
    <row r="10" spans="1:15" ht="13.5" thickTop="1" x14ac:dyDescent="0.2">
      <c r="A10" s="201">
        <v>1</v>
      </c>
      <c r="B10" s="175" t="s">
        <v>56</v>
      </c>
      <c r="C10" s="69">
        <v>1</v>
      </c>
      <c r="D10" s="177"/>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1">
        <v>2</v>
      </c>
      <c r="B11" s="175" t="s">
        <v>303</v>
      </c>
      <c r="C11" s="69">
        <v>1</v>
      </c>
      <c r="D11" s="177"/>
      <c r="E11" s="35">
        <f>IF(B11=0,"",IF(C11&gt;9999,"",ROUND('General Variables'!$B$4*VLOOKUP(B11,Operations[],10,FALSE)/VLOOKUP(B11,Operations[],9,FALSE)*C11,2)))</f>
        <v>1.83</v>
      </c>
      <c r="F11" s="35">
        <f>IF(B11=0,0,IF(C11&gt;9999,"",ROUND(IF(VLOOKUP(B11,Operations[],12,FALSE)=0,VLOOKUP(B11,Operations[],13,FALSE)*'General Variables'!$B$8,VLOOKUP(B11,Operations[],12,FALSE)*'General Variables'!$B$7)/VLOOKUP(B11,Operations[],9,FALSE)*C11,2)))</f>
        <v>1.89</v>
      </c>
      <c r="G11" s="35">
        <f>IF(B11=0,0,IF(C11&gt;9999,"",ROUND(VLOOKUP(VLOOKUP(B11,Operations[],11,FALSE),PowerUnits[],10,FALSE)/VLOOKUP(B11,Operations[],9,FALSE)*C11,2)))</f>
        <v>0.69</v>
      </c>
      <c r="H11" s="35">
        <f>IF(B11=0,"",IF(C11&gt;9999,"",ROUND(VLOOKUP($B11,Operations[],15,FALSE)*C11,2)))</f>
        <v>2.98</v>
      </c>
      <c r="I11" s="35">
        <f>IF(B11=0,0,IF(C11&gt;9999,"",ROUND(VLOOKUP(VLOOKUP(B11,Operations[],11,FALSE),PowerUnits[],16,FALSE)/VLOOKUP(B11,Operations[],9,FALSE)*C11,2)))</f>
        <v>2.2799999999999998</v>
      </c>
      <c r="J11" s="35">
        <f>IF(B11=0,"",IF(C11&gt;9999,"",ROUND(VLOOKUP($B11,Operations[],21,FALSE)*$C11,2)))</f>
        <v>6.7</v>
      </c>
      <c r="K11" s="35">
        <f t="shared" ref="K11:K29" si="0">IF(C11&gt;9999,"",ROUND(SUM(E11:J11),2))</f>
        <v>16.37</v>
      </c>
      <c r="L11" s="41"/>
    </row>
    <row r="12" spans="1:15" x14ac:dyDescent="0.2">
      <c r="A12" s="201">
        <v>3</v>
      </c>
      <c r="B12" s="175" t="s">
        <v>56</v>
      </c>
      <c r="C12" s="69">
        <v>1</v>
      </c>
      <c r="D12" s="177"/>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1">
        <v>4</v>
      </c>
      <c r="B13" s="175" t="s">
        <v>17</v>
      </c>
      <c r="C13" s="69" t="s">
        <v>3</v>
      </c>
      <c r="D13" s="177"/>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x14ac:dyDescent="0.2">
      <c r="A14" s="201">
        <v>5</v>
      </c>
      <c r="B14" s="175" t="s">
        <v>17</v>
      </c>
      <c r="C14" s="69" t="s">
        <v>3</v>
      </c>
      <c r="D14" s="177"/>
      <c r="E14" s="35" t="str">
        <f>IF(B14=0,"",IF(C14&gt;9999,"",ROUND('General Variables'!$B$4*VLOOKUP(B14,Operations[],10,FALSE)/VLOOKUP(B14,Operations[],9,FALSE)*C14,2)))</f>
        <v/>
      </c>
      <c r="F14" s="35" t="str">
        <f>IF(B14=0,0,IF(C14&gt;9999,"",ROUND(IF(VLOOKUP(B14,Operations[],12,FALSE)=0,VLOOKUP(B14,Operations[],13,FALSE)*'General Variables'!$B$8,VLOOKUP(B14,Operations[],12,FALSE)*'General Variables'!$B$7)/VLOOKUP(B14,Operations[],9,FALSE)*C14,2)))</f>
        <v/>
      </c>
      <c r="G14" s="35" t="str">
        <f>IF(B14=0,0,IF(C14&gt;9999,"",ROUND(VLOOKUP(VLOOKUP(B14,Operations[],11,FALSE),PowerUnits[],10,FALSE)/VLOOKUP(B14,Operations[],9,FALSE)*C14,2)))</f>
        <v/>
      </c>
      <c r="H14" s="35" t="str">
        <f>IF(B14=0,"",IF(C14&gt;9999,"",ROUND(VLOOKUP($B14,Operations[],15,FALSE)*C14,2)))</f>
        <v/>
      </c>
      <c r="I14" s="35" t="str">
        <f>IF(B14=0,0,IF(C14&gt;9999,"",ROUND(VLOOKUP(VLOOKUP(B14,Operations[],11,FALSE),PowerUnits[],16,FALSE)/VLOOKUP(B14,Operations[],9,FALSE)*C14,2)))</f>
        <v/>
      </c>
      <c r="J14" s="35" t="str">
        <f>IF(B14=0,"",IF(C14&gt;9999,"",ROUND(VLOOKUP($B14,Operations[],21,FALSE)*$C14,2)))</f>
        <v/>
      </c>
      <c r="K14" s="35" t="str">
        <f t="shared" si="0"/>
        <v/>
      </c>
      <c r="L14" s="41"/>
    </row>
    <row r="15" spans="1:15" x14ac:dyDescent="0.2">
      <c r="A15" s="201">
        <v>6</v>
      </c>
      <c r="B15" s="175" t="s">
        <v>306</v>
      </c>
      <c r="C15" s="69">
        <f>$H$3</f>
        <v>6</v>
      </c>
      <c r="D15" s="177" t="s">
        <v>459</v>
      </c>
      <c r="E15" s="35">
        <f>IF(B15=0,"",IF(C15&gt;9999,"",ROUND('General Variables'!$B$4*VLOOKUP(B15,Operations[],10,FALSE)/VLOOKUP(B15,Operations[],9,FALSE)*C15,2)))</f>
        <v>4.17</v>
      </c>
      <c r="F15" s="35">
        <f>IF(B15=0,0,IF(C15&gt;9999,"",ROUND(IF(VLOOKUP(B15,Operations[],12,FALSE)=0,VLOOKUP(B15,Operations[],13,FALSE)*'General Variables'!$B$8,VLOOKUP(B15,Operations[],12,FALSE)*'General Variables'!$B$7)/VLOOKUP(B15,Operations[],9,FALSE)*C15,2)))</f>
        <v>41.61</v>
      </c>
      <c r="G15" s="35">
        <f>IF(B15=0,0,IF(C15&gt;9999,"",ROUND(VLOOKUP(VLOOKUP(B15,Operations[],11,FALSE),PowerUnits[],10,FALSE)/VLOOKUP(B15,Operations[],9,FALSE)*C15,2)))</f>
        <v>1.96</v>
      </c>
      <c r="H15" s="35">
        <f>IF(B15=0,"",IF(C15&gt;9999,"",ROUND(VLOOKUP($B15,Operations[],15,FALSE)*C15,2)))</f>
        <v>8.99</v>
      </c>
      <c r="I15" s="35">
        <f>IF(B15=0,0,IF(C15&gt;9999,"",ROUND(VLOOKUP(VLOOKUP(B15,Operations[],11,FALSE),PowerUnits[],16,FALSE)/VLOOKUP(B15,Operations[],9,FALSE)*C15,2)))</f>
        <v>2.84</v>
      </c>
      <c r="J15" s="35">
        <f>IF(B15=0,"",IF(C15&gt;9999,"",ROUND(VLOOKUP($B15,Operations[],21,FALSE)*$C15,2)))</f>
        <v>5.38</v>
      </c>
      <c r="K15" s="35">
        <f>IF(C15&gt;9999,"",ROUND(SUM(E15:J15),2))</f>
        <v>64.95</v>
      </c>
      <c r="L15" s="41"/>
    </row>
    <row r="16" spans="1:15" x14ac:dyDescent="0.2">
      <c r="A16" s="201">
        <v>7</v>
      </c>
      <c r="B16" s="175" t="s">
        <v>282</v>
      </c>
      <c r="C16" s="69">
        <v>1</v>
      </c>
      <c r="D16" s="177"/>
      <c r="E16" s="35">
        <f>IF(B16=0,"",IF(C16&gt;9999,"",ROUND('General Variables'!$B$4*VLOOKUP(B16,Operations[],10,FALSE)/VLOOKUP(B16,Operations[],9,FALSE)*C16,2)))</f>
        <v>3.67</v>
      </c>
      <c r="F16" s="35">
        <f>IF(B16=0,0,IF(C16&gt;9999,"",ROUND(IF(VLOOKUP(B16,Operations[],12,FALSE)=0,VLOOKUP(B16,Operations[],13,FALSE)*'General Variables'!$B$8,VLOOKUP(B16,Operations[],12,FALSE)*'General Variables'!$B$7)/VLOOKUP(B16,Operations[],9,FALSE)*C16,2)))</f>
        <v>6.54</v>
      </c>
      <c r="G16" s="35">
        <f>IF(B16=0,0,IF(C16&gt;9999,"",ROUND(VLOOKUP(VLOOKUP(B16,Operations[],11,FALSE),PowerUnits[],10,FALSE)/VLOOKUP(B16,Operations[],9,FALSE)*C16,2)))</f>
        <v>7.72</v>
      </c>
      <c r="H16" s="35">
        <f>IF(B16=0,"",IF(C16&gt;9999,"",ROUND(VLOOKUP($B16,Operations[],15,FALSE)*C16,2)))</f>
        <v>1.27</v>
      </c>
      <c r="I16" s="35">
        <f>IF(B16=0,0,IF(C16&gt;9999,"",ROUND(VLOOKUP(VLOOKUP(B16,Operations[],11,FALSE),PowerUnits[],16,FALSE)/VLOOKUP(B16,Operations[],9,FALSE)*C16,2)))</f>
        <v>6.33</v>
      </c>
      <c r="J16" s="35">
        <f>IF(B16=0,"",IF(C16&gt;9999,"",ROUND(VLOOKUP($B16,Operations[],21,FALSE)*$C16,2)))</f>
        <v>2.7</v>
      </c>
      <c r="K16" s="35">
        <f t="shared" si="0"/>
        <v>28.23</v>
      </c>
      <c r="L16" s="41"/>
    </row>
    <row r="17" spans="1:12" x14ac:dyDescent="0.2">
      <c r="A17" s="201">
        <v>8</v>
      </c>
      <c r="B17" s="175" t="s">
        <v>325</v>
      </c>
      <c r="C17" s="69" t="s">
        <v>3</v>
      </c>
      <c r="D17" s="177"/>
      <c r="E17" s="35" t="str">
        <f>IF(B17=0,"",IF(C17&gt;9999,"",ROUND('General Variables'!$B$4*VLOOKUP(B17,Operations[],10,FALSE)/VLOOKUP(B17,Operations[],9,FALSE)*C17,2)))</f>
        <v/>
      </c>
      <c r="F17" s="35" t="str">
        <f>IF(B17=0,0,IF(C17&gt;9999,"",ROUND(IF(VLOOKUP(B17,Operations[],12,FALSE)=0,VLOOKUP(B17,Operations[],13,FALSE)*'General Variables'!$B$8,VLOOKUP(B17,Operations[],12,FALSE)*'General Variables'!$B$7)/VLOOKUP(B17,Operations[],9,FALSE)*C17,2)))</f>
        <v/>
      </c>
      <c r="G17" s="35" t="str">
        <f>IF(B17=0,0,IF(C17&gt;9999,"",ROUND(VLOOKUP(VLOOKUP(B17,Operations[],11,FALSE),PowerUnits[],10,FALSE)/VLOOKUP(B17,Operations[],9,FALSE)*C17,2)))</f>
        <v/>
      </c>
      <c r="H17" s="35" t="str">
        <f>IF(B17=0,"",IF(C17&gt;9999,"",ROUND(VLOOKUP($B17,Operations[],15,FALSE)*C17,2)))</f>
        <v/>
      </c>
      <c r="I17" s="35" t="str">
        <f>IF(B17=0,0,IF(C17&gt;9999,"",ROUND(VLOOKUP(VLOOKUP(B17,Operations[],11,FALSE),PowerUnits[],16,FALSE)/VLOOKUP(B17,Operations[],9,FALSE)*C17,2)))</f>
        <v/>
      </c>
      <c r="J17" s="35" t="str">
        <f>IF(B17=0,"",IF(C17&gt;9999,"",ROUND(VLOOKUP($B17,Operations[],21,FALSE)*$C17,2)))</f>
        <v/>
      </c>
      <c r="K17" s="35" t="str">
        <f t="shared" si="0"/>
        <v/>
      </c>
      <c r="L17" s="41"/>
    </row>
    <row r="18" spans="1:12" hidden="1" x14ac:dyDescent="0.2">
      <c r="A18" s="201">
        <v>9</v>
      </c>
      <c r="B18" s="175"/>
      <c r="C18" s="69"/>
      <c r="D18" s="177"/>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1">
        <v>10</v>
      </c>
      <c r="B19" s="175"/>
      <c r="C19" s="69"/>
      <c r="D19" s="178"/>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11.67</v>
      </c>
      <c r="F31" s="34">
        <f t="shared" ref="F31:K31" si="1">SUM(F10:F29)</f>
        <v>50.82</v>
      </c>
      <c r="G31" s="34">
        <f t="shared" si="1"/>
        <v>11.03</v>
      </c>
      <c r="H31" s="34">
        <f t="shared" si="1"/>
        <v>14.48</v>
      </c>
      <c r="I31" s="34">
        <f t="shared" si="1"/>
        <v>13.629999999999999</v>
      </c>
      <c r="J31" s="34">
        <f t="shared" si="1"/>
        <v>16.5</v>
      </c>
      <c r="K31" s="34">
        <f t="shared" si="1"/>
        <v>118.13000000000001</v>
      </c>
      <c r="L31" s="41"/>
    </row>
    <row r="33" spans="1:12" ht="24" customHeight="1" thickBot="1" x14ac:dyDescent="0.25">
      <c r="B33" s="38"/>
      <c r="C33" s="38"/>
      <c r="D33" s="38"/>
      <c r="E33" s="38"/>
      <c r="F33" s="331" t="s">
        <v>98</v>
      </c>
      <c r="G33" s="331" t="s">
        <v>95</v>
      </c>
      <c r="H33" s="332" t="s">
        <v>99</v>
      </c>
      <c r="I33" s="332"/>
      <c r="J33" s="331" t="s">
        <v>70</v>
      </c>
      <c r="L33" s="332" t="s">
        <v>401</v>
      </c>
    </row>
    <row r="34" spans="1:12" s="47" customFormat="1" ht="14.25" thickTop="1" thickBot="1" x14ac:dyDescent="0.25">
      <c r="B34" s="48" t="s">
        <v>94</v>
      </c>
      <c r="C34" s="199"/>
      <c r="D34" s="199"/>
      <c r="E34" s="199"/>
      <c r="F34" s="331"/>
      <c r="G34" s="331"/>
      <c r="H34" s="199" t="s">
        <v>100</v>
      </c>
      <c r="I34" s="199" t="s">
        <v>78</v>
      </c>
      <c r="J34" s="331"/>
      <c r="K34" s="199" t="s">
        <v>96</v>
      </c>
      <c r="L34" s="331"/>
    </row>
    <row r="35" spans="1:12" ht="13.5" thickTop="1" x14ac:dyDescent="0.2">
      <c r="A35" s="1"/>
      <c r="B35" s="175" t="s">
        <v>32</v>
      </c>
      <c r="C35" s="318" t="str">
        <f>IF(B35=0,"",VLOOKUP($B35,Materials[],2,FALSE))</f>
        <v>Herbicide</v>
      </c>
      <c r="D35" s="318"/>
      <c r="E35" s="318"/>
      <c r="F35" s="69">
        <v>1</v>
      </c>
      <c r="G35" s="72">
        <v>1</v>
      </c>
      <c r="H35" s="288">
        <v>32</v>
      </c>
      <c r="I35" s="49" t="str">
        <f>IF($B35=0,"",VLOOKUP($B35,Materials[],5,FALSE))</f>
        <v>ounce</v>
      </c>
      <c r="J35" s="50">
        <f>IF($B35=0,"",VLOOKUP($B35,Materials[],7,FALSE))</f>
        <v>0.1328125</v>
      </c>
      <c r="K35" s="34">
        <f>IF(B35=0,0,ROUND(G35*H35*J35,2))</f>
        <v>4.25</v>
      </c>
      <c r="L35" s="41"/>
    </row>
    <row r="36" spans="1:12" x14ac:dyDescent="0.2">
      <c r="A36" s="1"/>
      <c r="B36" s="175" t="s">
        <v>12</v>
      </c>
      <c r="C36" s="318" t="str">
        <f>IF(B36=0,"",VLOOKUP($B36,Materials[],2,FALSE))</f>
        <v>Herbicide</v>
      </c>
      <c r="D36" s="318"/>
      <c r="E36" s="318"/>
      <c r="F36" s="69">
        <v>1</v>
      </c>
      <c r="G36" s="72">
        <v>1</v>
      </c>
      <c r="H36" s="288">
        <v>1</v>
      </c>
      <c r="I36" s="49" t="str">
        <f>IF($B36=0,"",VLOOKUP($B36,Materials[],5,FALSE))</f>
        <v>pint</v>
      </c>
      <c r="J36" s="50">
        <f>IF($B36=0,"",VLOOKUP($B36,Materials[],7,FALSE))</f>
        <v>2.6875</v>
      </c>
      <c r="K36" s="34">
        <f>IF(B36=0,0,ROUND(G36*H36*J36,2))</f>
        <v>2.69</v>
      </c>
      <c r="L36" s="41"/>
    </row>
    <row r="37" spans="1:12" x14ac:dyDescent="0.2">
      <c r="A37" s="1"/>
      <c r="B37" s="175" t="s">
        <v>497</v>
      </c>
      <c r="C37" s="318" t="str">
        <f>IF(B37=0,"",VLOOKUP($B37,Materials[],2,FALSE))</f>
        <v>Additive</v>
      </c>
      <c r="D37" s="318"/>
      <c r="E37" s="318"/>
      <c r="F37" s="69">
        <v>1</v>
      </c>
      <c r="G37" s="72">
        <v>1</v>
      </c>
      <c r="H37" s="288">
        <v>1.7</v>
      </c>
      <c r="I37" s="49" t="str">
        <f>IF($B37=0,"",VLOOKUP($B37,Materials[],5,FALSE))</f>
        <v>pound</v>
      </c>
      <c r="J37" s="50">
        <f>IF($B37=0,"",VLOOKUP($B37,Materials[],7,FALSE))</f>
        <v>0.33</v>
      </c>
      <c r="K37" s="34">
        <f>IF(B37=0,0,ROUND(G37*H37*J37,2))</f>
        <v>0.56000000000000005</v>
      </c>
      <c r="L37" s="41"/>
    </row>
    <row r="38" spans="1:12" x14ac:dyDescent="0.2">
      <c r="A38" s="1"/>
      <c r="B38" s="175" t="s">
        <v>502</v>
      </c>
      <c r="C38" s="318" t="str">
        <f>IF(B38=0,"",VLOOKUP($B38,Materials[],2,FALSE))</f>
        <v>Herbicide</v>
      </c>
      <c r="D38" s="318"/>
      <c r="E38" s="318"/>
      <c r="F38" s="69">
        <v>1</v>
      </c>
      <c r="G38" s="72">
        <v>1</v>
      </c>
      <c r="H38" s="288">
        <v>3</v>
      </c>
      <c r="I38" s="49" t="str">
        <f>IF($B38=0,"",VLOOKUP($B38,Materials[],5,FALSE))</f>
        <v>ounce</v>
      </c>
      <c r="J38" s="50">
        <f>IF($B38=0,"",VLOOKUP($B38,Materials[],7,FALSE))</f>
        <v>5.1875</v>
      </c>
      <c r="K38" s="34">
        <f t="shared" ref="K38:K49" si="2">IF(B38=0,0,ROUND(G38*H38*J38,2))</f>
        <v>15.56</v>
      </c>
      <c r="L38" s="41"/>
    </row>
    <row r="39" spans="1:12" x14ac:dyDescent="0.2">
      <c r="A39" s="1"/>
      <c r="B39" s="175" t="s">
        <v>50</v>
      </c>
      <c r="C39" s="318" t="str">
        <f>IF(B39=0,"",VLOOKUP($B39,Materials[],2,FALSE))</f>
        <v>Seed</v>
      </c>
      <c r="D39" s="318"/>
      <c r="E39" s="318"/>
      <c r="F39" s="69">
        <v>2</v>
      </c>
      <c r="G39" s="72">
        <v>1</v>
      </c>
      <c r="H39" s="288">
        <v>1.1000000000000001</v>
      </c>
      <c r="I39" s="49" t="str">
        <f>IF($B39=0,"",VLOOKUP($B39,Materials[],5,FALSE))</f>
        <v>bag</v>
      </c>
      <c r="J39" s="50">
        <f>IF($B39=0,"",VLOOKUP($B39,Materials[],7,FALSE))</f>
        <v>44</v>
      </c>
      <c r="K39" s="34">
        <f t="shared" si="2"/>
        <v>48.4</v>
      </c>
      <c r="L39" s="41"/>
    </row>
    <row r="40" spans="1:12" x14ac:dyDescent="0.2">
      <c r="A40" s="1"/>
      <c r="B40" s="175" t="s">
        <v>32</v>
      </c>
      <c r="C40" s="318" t="str">
        <f>IF(B40=0,"",VLOOKUP($B40,Materials[],2,FALSE))</f>
        <v>Herbicide</v>
      </c>
      <c r="D40" s="318"/>
      <c r="E40" s="318"/>
      <c r="F40" s="69">
        <v>3</v>
      </c>
      <c r="G40" s="72">
        <v>1</v>
      </c>
      <c r="H40" s="288">
        <v>32</v>
      </c>
      <c r="I40" s="49" t="str">
        <f>IF($B40=0,"",VLOOKUP($B40,Materials[],5,FALSE))</f>
        <v>ounce</v>
      </c>
      <c r="J40" s="50">
        <f>IF($B40=0,"",VLOOKUP($B40,Materials[],7,FALSE))</f>
        <v>0.1328125</v>
      </c>
      <c r="K40" s="34">
        <f t="shared" si="2"/>
        <v>4.25</v>
      </c>
      <c r="L40" s="41"/>
    </row>
    <row r="41" spans="1:12" x14ac:dyDescent="0.2">
      <c r="A41" s="66"/>
      <c r="B41" s="175" t="s">
        <v>52</v>
      </c>
      <c r="C41" s="318" t="str">
        <f>IF(B41=0,"",VLOOKUP($B41,Materials[],2,FALSE))</f>
        <v>Herbicide</v>
      </c>
      <c r="D41" s="318"/>
      <c r="E41" s="318"/>
      <c r="F41" s="69">
        <v>3</v>
      </c>
      <c r="G41" s="72">
        <v>1</v>
      </c>
      <c r="H41" s="288">
        <v>6</v>
      </c>
      <c r="I41" s="49" t="str">
        <f>IF($B41=0,"",VLOOKUP($B41,Materials[],5,FALSE))</f>
        <v>ounce</v>
      </c>
      <c r="J41" s="50">
        <f>IF($B41=0,"",VLOOKUP($B41,Materials[],7,FALSE))</f>
        <v>0.859375</v>
      </c>
      <c r="K41" s="34">
        <f t="shared" si="2"/>
        <v>5.16</v>
      </c>
      <c r="L41" s="41"/>
    </row>
    <row r="42" spans="1:12" x14ac:dyDescent="0.2">
      <c r="A42" s="66"/>
      <c r="B42" s="175" t="s">
        <v>497</v>
      </c>
      <c r="C42" s="318" t="str">
        <f>IF(B42=0,"",VLOOKUP($B42,Materials[],2,FALSE))</f>
        <v>Additive</v>
      </c>
      <c r="D42" s="318"/>
      <c r="E42" s="318"/>
      <c r="F42" s="69">
        <v>3</v>
      </c>
      <c r="G42" s="72">
        <v>1</v>
      </c>
      <c r="H42" s="288">
        <v>1.7</v>
      </c>
      <c r="I42" s="49" t="str">
        <f>IF($B42=0,"",VLOOKUP($B42,Materials[],5,FALSE))</f>
        <v>pound</v>
      </c>
      <c r="J42" s="50">
        <f>IF($B42=0,"",VLOOKUP($B42,Materials[],7,FALSE))</f>
        <v>0.33</v>
      </c>
      <c r="K42" s="34">
        <f t="shared" si="2"/>
        <v>0.56000000000000005</v>
      </c>
      <c r="L42" s="41"/>
    </row>
    <row r="43" spans="1:12" x14ac:dyDescent="0.2">
      <c r="A43" s="66" t="s">
        <v>424</v>
      </c>
      <c r="B43" s="175" t="s">
        <v>17</v>
      </c>
      <c r="C43" s="318" t="str">
        <f>IF(B43=0,"",VLOOKUP($B43,Materials[],2,FALSE))</f>
        <v>Custom</v>
      </c>
      <c r="D43" s="318"/>
      <c r="E43" s="318"/>
      <c r="F43" s="69">
        <v>4</v>
      </c>
      <c r="G43" s="72">
        <v>0.2</v>
      </c>
      <c r="H43" s="288">
        <v>1</v>
      </c>
      <c r="I43" s="49" t="str">
        <f>IF($B43=0,"",VLOOKUP($B43,Materials[],5,FALSE))</f>
        <v>acre</v>
      </c>
      <c r="J43" s="50">
        <f>IF($B43=0,"",VLOOKUP($B43,Materials[],7,FALSE))</f>
        <v>9.5</v>
      </c>
      <c r="K43" s="34">
        <f t="shared" si="2"/>
        <v>1.9</v>
      </c>
      <c r="L43" s="41"/>
    </row>
    <row r="44" spans="1:12" x14ac:dyDescent="0.2">
      <c r="A44" s="66" t="s">
        <v>424</v>
      </c>
      <c r="B44" s="175" t="s">
        <v>426</v>
      </c>
      <c r="C44" s="318" t="str">
        <f>IF(B44=0,"",VLOOKUP($B44,Materials[],2,FALSE))</f>
        <v>Insecticide</v>
      </c>
      <c r="D44" s="318"/>
      <c r="E44" s="318"/>
      <c r="F44" s="69">
        <v>4</v>
      </c>
      <c r="G44" s="72">
        <v>0.2</v>
      </c>
      <c r="H44" s="288">
        <v>1.6</v>
      </c>
      <c r="I44" s="49" t="str">
        <f>IF($B44=0,"",VLOOKUP($B44,Materials[],5,FALSE))</f>
        <v>ounce</v>
      </c>
      <c r="J44" s="50">
        <f>IF($B44=0,"",VLOOKUP($B44,Materials[],7,FALSE))</f>
        <v>2.96875</v>
      </c>
      <c r="K44" s="34">
        <f t="shared" si="2"/>
        <v>0.95</v>
      </c>
      <c r="L44" s="41"/>
    </row>
    <row r="45" spans="1:12" x14ac:dyDescent="0.2">
      <c r="A45" s="66"/>
      <c r="B45" s="175" t="s">
        <v>17</v>
      </c>
      <c r="C45" s="318" t="str">
        <f>IF(B45=0,"",VLOOKUP($B45,Materials[],2,FALSE))</f>
        <v>Custom</v>
      </c>
      <c r="D45" s="318"/>
      <c r="E45" s="318"/>
      <c r="F45" s="69">
        <v>5</v>
      </c>
      <c r="G45" s="72">
        <v>0.5</v>
      </c>
      <c r="H45" s="288">
        <v>1</v>
      </c>
      <c r="I45" s="49" t="str">
        <f>IF($B45=0,"",VLOOKUP($B45,Materials[],5,FALSE))</f>
        <v>acre</v>
      </c>
      <c r="J45" s="50">
        <f>IF($B45=0,"",VLOOKUP($B45,Materials[],7,FALSE))</f>
        <v>9.5</v>
      </c>
      <c r="K45" s="34">
        <f t="shared" si="2"/>
        <v>4.75</v>
      </c>
      <c r="L45" s="41"/>
    </row>
    <row r="46" spans="1:12" x14ac:dyDescent="0.2">
      <c r="A46" s="1"/>
      <c r="B46" s="175" t="s">
        <v>539</v>
      </c>
      <c r="C46" s="318" t="str">
        <f>IF(B46=0,"",VLOOKUP($B46,Materials[],2,FALSE))</f>
        <v>Fungicide</v>
      </c>
      <c r="D46" s="318"/>
      <c r="E46" s="318"/>
      <c r="F46" s="69">
        <v>5</v>
      </c>
      <c r="G46" s="72">
        <v>0.5</v>
      </c>
      <c r="H46" s="288">
        <v>4</v>
      </c>
      <c r="I46" s="49" t="str">
        <f>IF($B46=0,"",VLOOKUP($B46,Materials[],5,FALSE))</f>
        <v>ounce</v>
      </c>
      <c r="J46" s="50">
        <f>IF($B46=0,"",VLOOKUP($B46,Materials[],7,FALSE))</f>
        <v>5.625</v>
      </c>
      <c r="K46" s="34">
        <f t="shared" si="2"/>
        <v>11.25</v>
      </c>
      <c r="L46" s="41"/>
    </row>
    <row r="47" spans="1:12" x14ac:dyDescent="0.2">
      <c r="A47" s="1"/>
      <c r="B47" s="175" t="s">
        <v>38</v>
      </c>
      <c r="C47" s="318" t="str">
        <f>IF(B47=0,"",VLOOKUP($B47,Materials[],2,FALSE))</f>
        <v>Custom</v>
      </c>
      <c r="D47" s="318"/>
      <c r="E47" s="318"/>
      <c r="F47" s="69">
        <v>8</v>
      </c>
      <c r="G47" s="72">
        <v>1</v>
      </c>
      <c r="H47" s="288">
        <f>$A$4</f>
        <v>65</v>
      </c>
      <c r="I47" s="49" t="str">
        <f>IF($B47=0,"",VLOOKUP($B47,Materials[],5,FALSE))</f>
        <v>bushel</v>
      </c>
      <c r="J47" s="50">
        <f>IF($B47=0,"",VLOOKUP($B47,Materials[],7,FALSE))</f>
        <v>0.11</v>
      </c>
      <c r="K47" s="34">
        <f t="shared" si="2"/>
        <v>7.15</v>
      </c>
      <c r="L47" s="41"/>
    </row>
    <row r="48" spans="1:12" x14ac:dyDescent="0.2">
      <c r="B48" s="175" t="s">
        <v>452</v>
      </c>
      <c r="C48" s="318" t="str">
        <f>IF(B48=0,"",VLOOKUP($B48,Materials[],2,FALSE))</f>
        <v>Scouting</v>
      </c>
      <c r="D48" s="318"/>
      <c r="E48" s="318"/>
      <c r="F48" s="69"/>
      <c r="G48" s="72">
        <v>1</v>
      </c>
      <c r="H48" s="288">
        <v>1</v>
      </c>
      <c r="I48" s="49" t="str">
        <f>IF($B48=0,"",VLOOKUP($B48,Materials[],5,FALSE))</f>
        <v>acre</v>
      </c>
      <c r="J48" s="50">
        <f>IF($B48=0,"",VLOOKUP($B48,Materials[],7,FALSE))</f>
        <v>10</v>
      </c>
      <c r="K48" s="34">
        <f t="shared" si="2"/>
        <v>10</v>
      </c>
      <c r="L48" s="41"/>
    </row>
    <row r="49" spans="2:12" hidden="1" x14ac:dyDescent="0.2">
      <c r="B49" s="175"/>
      <c r="C49" s="318" t="str">
        <f>IF(B49=0,"",VLOOKUP($B49,Materials[],2,FALSE))</f>
        <v/>
      </c>
      <c r="D49" s="318"/>
      <c r="E49" s="318"/>
      <c r="F49" s="69"/>
      <c r="G49" s="72"/>
      <c r="H49" s="288"/>
      <c r="I49" s="49" t="str">
        <f>IF($B49=0,"",VLOOKUP($B49,Materials[],5,FALSE))</f>
        <v/>
      </c>
      <c r="J49" s="50" t="str">
        <f>IF($B49=0,"",VLOOKUP($B49,Materials[],7,FALSE))</f>
        <v/>
      </c>
      <c r="K49" s="34">
        <f t="shared" si="2"/>
        <v>0</v>
      </c>
      <c r="L49" s="41"/>
    </row>
    <row r="50" spans="2:12" hidden="1" x14ac:dyDescent="0.2">
      <c r="B50" s="176"/>
      <c r="C50" s="318" t="str">
        <f>IF(B50=0,"",VLOOKUP($B50,Materials[],2,FALSE))</f>
        <v/>
      </c>
      <c r="D50" s="318"/>
      <c r="E50" s="318"/>
      <c r="F50" s="70"/>
      <c r="G50" s="73"/>
      <c r="H50" s="290"/>
      <c r="I50" s="49" t="str">
        <f>IF($B50=0,"",VLOOKUP($B50,Materials[],5,FALSE))</f>
        <v/>
      </c>
      <c r="J50" s="50" t="str">
        <f>IF($B50=0,"",VLOOKUP($B50,Materials[],7,FALSE))</f>
        <v/>
      </c>
      <c r="K50" s="34">
        <f t="shared" ref="K50:K58" si="3">IF(B50=0,0,ROUND(G50*H50*J50,2))</f>
        <v>0</v>
      </c>
      <c r="L50" s="41"/>
    </row>
    <row r="51" spans="2:12" hidden="1" x14ac:dyDescent="0.2">
      <c r="B51" s="176"/>
      <c r="C51" s="318" t="str">
        <f>IF(B51=0,"",VLOOKUP($B51,Materials[],2,FALSE))</f>
        <v/>
      </c>
      <c r="D51" s="318"/>
      <c r="E51" s="318"/>
      <c r="F51" s="70"/>
      <c r="G51" s="73"/>
      <c r="H51" s="290"/>
      <c r="I51" s="49" t="str">
        <f>IF($B51=0,"",VLOOKUP($B51,Materials[],5,FALSE))</f>
        <v/>
      </c>
      <c r="J51" s="50" t="str">
        <f>IF($B51=0,"",VLOOKUP($B51,Materials[],7,FALSE))</f>
        <v/>
      </c>
      <c r="K51" s="34">
        <f t="shared" si="3"/>
        <v>0</v>
      </c>
      <c r="L51" s="41"/>
    </row>
    <row r="52" spans="2:12" hidden="1" x14ac:dyDescent="0.2">
      <c r="B52" s="176"/>
      <c r="C52" s="318" t="str">
        <f>IF(B52=0,"",VLOOKUP($B52,Materials[],2,FALSE))</f>
        <v/>
      </c>
      <c r="D52" s="318"/>
      <c r="E52" s="318"/>
      <c r="F52" s="70"/>
      <c r="G52" s="73"/>
      <c r="H52" s="290"/>
      <c r="I52" s="49" t="str">
        <f>IF($B52=0,"",VLOOKUP($B52,Materials[],5,FALSE))</f>
        <v/>
      </c>
      <c r="J52" s="50" t="str">
        <f>IF($B52=0,"",VLOOKUP($B52,Materials[],7,FALSE))</f>
        <v/>
      </c>
      <c r="K52" s="34">
        <f t="shared" si="3"/>
        <v>0</v>
      </c>
      <c r="L52" s="41"/>
    </row>
    <row r="53" spans="2:12" hidden="1" x14ac:dyDescent="0.2">
      <c r="B53" s="176"/>
      <c r="C53" s="318" t="str">
        <f>IF(B53=0,"",VLOOKUP($B53,Materials[],2,FALSE))</f>
        <v/>
      </c>
      <c r="D53" s="318"/>
      <c r="E53" s="318"/>
      <c r="F53" s="70"/>
      <c r="G53" s="73"/>
      <c r="H53" s="290"/>
      <c r="I53" s="49" t="str">
        <f>IF($B53=0,"",VLOOKUP($B53,Materials[],5,FALSE))</f>
        <v/>
      </c>
      <c r="J53" s="50" t="str">
        <f>IF($B53=0,"",VLOOKUP($B53,Materials[],7,FALSE))</f>
        <v/>
      </c>
      <c r="K53" s="34">
        <f t="shared" si="3"/>
        <v>0</v>
      </c>
      <c r="L53" s="42"/>
    </row>
    <row r="54" spans="2:12" hidden="1" x14ac:dyDescent="0.2">
      <c r="B54" s="176"/>
      <c r="C54" s="318" t="str">
        <f>IF(B54=0,"",VLOOKUP($B54,Materials[],2,FALSE))</f>
        <v/>
      </c>
      <c r="D54" s="318"/>
      <c r="E54" s="318"/>
      <c r="F54" s="70"/>
      <c r="G54" s="73"/>
      <c r="H54" s="290"/>
      <c r="I54" s="49" t="str">
        <f>IF($B54=0,"",VLOOKUP($B54,Materials[],5,FALSE))</f>
        <v/>
      </c>
      <c r="J54" s="50" t="str">
        <f>IF($B54=0,"",VLOOKUP($B54,Materials[],7,FALSE))</f>
        <v/>
      </c>
      <c r="K54" s="34">
        <f t="shared" si="3"/>
        <v>0</v>
      </c>
      <c r="L54" s="42"/>
    </row>
    <row r="55" spans="2:12" hidden="1" x14ac:dyDescent="0.2">
      <c r="B55" s="176"/>
      <c r="C55" s="318" t="str">
        <f>IF(B55=0,"",VLOOKUP($B55,Materials[],2,FALSE))</f>
        <v/>
      </c>
      <c r="D55" s="318"/>
      <c r="E55" s="318"/>
      <c r="F55" s="70"/>
      <c r="G55" s="73"/>
      <c r="H55" s="290"/>
      <c r="I55" s="49" t="str">
        <f>IF($B55=0,"",VLOOKUP($B55,Materials[],5,FALSE))</f>
        <v/>
      </c>
      <c r="J55" s="50" t="str">
        <f>IF($B55=0,"",VLOOKUP($B55,Materials[],7,FALSE))</f>
        <v/>
      </c>
      <c r="K55" s="34">
        <f t="shared" si="3"/>
        <v>0</v>
      </c>
      <c r="L55" s="42"/>
    </row>
    <row r="56" spans="2:12" hidden="1" x14ac:dyDescent="0.2">
      <c r="B56" s="176"/>
      <c r="C56" s="318" t="str">
        <f>IF(B56=0,"",VLOOKUP($B56,Materials[],2,FALSE))</f>
        <v/>
      </c>
      <c r="D56" s="318"/>
      <c r="E56" s="318"/>
      <c r="F56" s="70"/>
      <c r="G56" s="73"/>
      <c r="H56" s="290"/>
      <c r="I56" s="49" t="str">
        <f>IF($B56=0,"",VLOOKUP($B56,Materials[],5,FALSE))</f>
        <v/>
      </c>
      <c r="J56" s="50" t="str">
        <f>IF($B56=0,"",VLOOKUP($B56,Materials[],7,FALSE))</f>
        <v/>
      </c>
      <c r="K56" s="34">
        <f t="shared" si="3"/>
        <v>0</v>
      </c>
      <c r="L56" s="42"/>
    </row>
    <row r="57" spans="2:12" hidden="1" x14ac:dyDescent="0.2">
      <c r="B57" s="176"/>
      <c r="C57" s="318" t="str">
        <f>IF(B57=0,"",VLOOKUP($B57,Materials[],2,FALSE))</f>
        <v/>
      </c>
      <c r="D57" s="318"/>
      <c r="E57" s="318"/>
      <c r="F57" s="70"/>
      <c r="G57" s="73"/>
      <c r="H57" s="290"/>
      <c r="I57" s="49" t="str">
        <f>IF($B57=0,"",VLOOKUP($B57,Materials[],5,FALSE))</f>
        <v/>
      </c>
      <c r="J57" s="50" t="str">
        <f>IF($B57=0,"",VLOOKUP($B57,Materials[],7,FALSE))</f>
        <v/>
      </c>
      <c r="K57" s="34">
        <f t="shared" si="3"/>
        <v>0</v>
      </c>
      <c r="L57" s="42"/>
    </row>
    <row r="58" spans="2:12" hidden="1" x14ac:dyDescent="0.2">
      <c r="B58" s="176"/>
      <c r="C58" s="318" t="str">
        <f>IF(B58=0,"",VLOOKUP($B58,Materials[],2,FALSE))</f>
        <v/>
      </c>
      <c r="D58" s="318"/>
      <c r="E58" s="318"/>
      <c r="F58" s="70"/>
      <c r="G58" s="73"/>
      <c r="H58" s="290"/>
      <c r="I58" s="49" t="str">
        <f>IF($B58=0,"",VLOOKUP($B58,Materials[],5,FALSE))</f>
        <v/>
      </c>
      <c r="J58" s="50" t="str">
        <f>IF($B58=0,"",VLOOKUP($B58,Materials[],7,FALSE))</f>
        <v/>
      </c>
      <c r="K58" s="34">
        <f t="shared" si="3"/>
        <v>0</v>
      </c>
      <c r="L58" s="42"/>
    </row>
    <row r="59" spans="2:12" x14ac:dyDescent="0.2">
      <c r="B59" s="176" t="s">
        <v>506</v>
      </c>
      <c r="C59" s="318" t="str">
        <f>IF(B59=0,0,"Crop Insurance")</f>
        <v>Crop Insurance</v>
      </c>
      <c r="D59" s="318"/>
      <c r="E59" s="318"/>
      <c r="F59" s="70"/>
      <c r="G59" s="73">
        <f>IF(B59=0,0,100%)</f>
        <v>1</v>
      </c>
      <c r="H59" s="290">
        <f>IF(B59=0,0,1)</f>
        <v>1</v>
      </c>
      <c r="I59" s="49" t="str">
        <f>IF(B59=0,0,"acre")</f>
        <v>acre</v>
      </c>
      <c r="J59" s="50">
        <f>IFERROR(VLOOKUP(B59,CropInsurance,2,FALSE),0)</f>
        <v>8.5</v>
      </c>
      <c r="K59" s="35">
        <f>IF(B59=0,0,J59)</f>
        <v>8.5</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8">
        <f>SUM(K35:K59)</f>
        <v>125.93000000000002</v>
      </c>
      <c r="L61" s="41"/>
    </row>
    <row r="62" spans="2:12" x14ac:dyDescent="0.2">
      <c r="B62" s="67" t="s">
        <v>597</v>
      </c>
      <c r="K62" s="278"/>
    </row>
    <row r="63" spans="2:12" x14ac:dyDescent="0.2">
      <c r="B63" s="40" t="s">
        <v>101</v>
      </c>
      <c r="K63" s="278">
        <f>K31+K61</f>
        <v>244.06000000000003</v>
      </c>
      <c r="L63" s="41"/>
    </row>
    <row r="64" spans="2:12" ht="13.5" thickBot="1" x14ac:dyDescent="0.25">
      <c r="D64" s="56" t="s">
        <v>402</v>
      </c>
      <c r="E64" s="57">
        <f>SUM($E$31:$H$31)+$K$61</f>
        <v>213.93</v>
      </c>
      <c r="F64" s="327" t="s">
        <v>403</v>
      </c>
      <c r="G64" s="327"/>
      <c r="H64" s="58">
        <f>'General Variables'!$B$11</f>
        <v>5.5E-2</v>
      </c>
      <c r="I64" s="59" t="str">
        <f>CONCATENATE("for ",TEXT('General Variables'!$B$12,"0.0")," mo.")</f>
        <v>for 6.0 mo.</v>
      </c>
      <c r="K64" s="279">
        <f>ROUND(E64*H64*'General Variables'!$B$12/12,2)</f>
        <v>5.88</v>
      </c>
      <c r="L64" s="60"/>
    </row>
    <row r="65" spans="2:12" ht="13.5" thickTop="1" x14ac:dyDescent="0.2">
      <c r="B65" s="40" t="s">
        <v>407</v>
      </c>
      <c r="K65" s="278">
        <f>SUM(K63:K64)</f>
        <v>249.94000000000003</v>
      </c>
      <c r="L65" s="41"/>
    </row>
    <row r="66" spans="2:12" x14ac:dyDescent="0.2">
      <c r="K66" s="278"/>
    </row>
    <row r="67" spans="2:12" x14ac:dyDescent="0.2">
      <c r="B67" s="61" t="s">
        <v>436</v>
      </c>
      <c r="C67" s="62"/>
      <c r="D67" s="62"/>
      <c r="E67" s="62"/>
      <c r="F67" s="62"/>
      <c r="G67" s="62"/>
      <c r="H67" s="62"/>
      <c r="I67" s="62"/>
      <c r="J67" s="62"/>
      <c r="K67" s="280">
        <f>'General Variables'!B14</f>
        <v>20</v>
      </c>
      <c r="L67" s="41"/>
    </row>
    <row r="68" spans="2:12" x14ac:dyDescent="0.2">
      <c r="B68" s="20" t="s">
        <v>410</v>
      </c>
      <c r="C68" s="328" t="s">
        <v>414</v>
      </c>
      <c r="D68" s="329"/>
      <c r="E68" s="330"/>
      <c r="F68" s="63">
        <f>IF(C68=0,0,VLOOKUP(C68,RETable,2,FALSE))</f>
        <v>7685</v>
      </c>
      <c r="G68" s="327" t="s">
        <v>411</v>
      </c>
      <c r="H68" s="327"/>
      <c r="I68" s="58">
        <f>'General Variables'!$B$10</f>
        <v>0.04</v>
      </c>
      <c r="K68" s="281">
        <f>ROUND(F68*I68,2)</f>
        <v>307.39999999999998</v>
      </c>
      <c r="L68" s="41"/>
    </row>
    <row r="69" spans="2:12" ht="13.5" thickBot="1" x14ac:dyDescent="0.25">
      <c r="B69" s="20" t="s">
        <v>419</v>
      </c>
      <c r="F69" s="64">
        <f>IF(C68=0,0,VLOOKUP(C68,RETable,2,FALSE))</f>
        <v>7685</v>
      </c>
      <c r="G69" s="326" t="s">
        <v>411</v>
      </c>
      <c r="H69" s="326"/>
      <c r="I69" s="65">
        <f>'General Variables'!$B$13</f>
        <v>0.01</v>
      </c>
      <c r="J69" s="1"/>
      <c r="K69" s="282">
        <f>ROUND(F69*I69,2)</f>
        <v>76.849999999999994</v>
      </c>
      <c r="L69" s="60"/>
    </row>
    <row r="70" spans="2:12" ht="13.5" thickTop="1" x14ac:dyDescent="0.2">
      <c r="B70" s="40" t="s">
        <v>425</v>
      </c>
      <c r="K70" s="278">
        <f>SUM(K65:K69)</f>
        <v>654.19000000000005</v>
      </c>
      <c r="L70" s="41"/>
    </row>
    <row r="72" spans="2:12" x14ac:dyDescent="0.2">
      <c r="B72" s="40" t="str">
        <f>"Cost per "&amp;$B$4</f>
        <v>Cost per bu</v>
      </c>
      <c r="K72" s="34">
        <f>IF(A4="Yield",0,K70/$A$4)</f>
        <v>10.06446153846154</v>
      </c>
      <c r="L72" s="41"/>
    </row>
    <row r="73" spans="2:12" x14ac:dyDescent="0.2">
      <c r="B73" s="23" t="str">
        <f>"Cash Cost per "&amp;$B$4</f>
        <v>Cash Cost per bu</v>
      </c>
      <c r="C73" s="1"/>
      <c r="D73" s="1"/>
      <c r="E73" s="1"/>
      <c r="F73" s="1"/>
      <c r="G73" s="1"/>
      <c r="H73" s="1"/>
      <c r="I73" s="1"/>
      <c r="J73" s="1"/>
      <c r="K73" s="11">
        <f>IF($A$4="Yield",0,(E64+K64+K69)/$A$4)</f>
        <v>4.5639999999999992</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573</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574</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285</v>
      </c>
      <c r="C3" s="204" t="s">
        <v>429</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3" t="s">
        <v>285</v>
      </c>
      <c r="C4" s="204" t="s">
        <v>430</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3" t="s">
        <v>290</v>
      </c>
      <c r="C5" s="204" t="s">
        <v>428</v>
      </c>
      <c r="D5" s="36">
        <f>IF(B5=0,"",'General Variables'!$B$4*VLOOKUP(B5,Operations[],10,FALSE)/VLOOKUP(B5,Operations[],9,FALSE)*LEFT(C5,2))</f>
        <v>24.444444444444446</v>
      </c>
      <c r="E5" s="36"/>
      <c r="F5" s="36"/>
      <c r="G5" s="36"/>
      <c r="H5" s="36"/>
      <c r="I5" s="36"/>
      <c r="J5" s="36">
        <f>SUM(D5:I5)</f>
        <v>24.444444444444446</v>
      </c>
    </row>
    <row r="6" spans="2:10" x14ac:dyDescent="0.2">
      <c r="B6" s="203" t="s">
        <v>307</v>
      </c>
      <c r="C6" s="204" t="s">
        <v>427</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3" t="s">
        <v>306</v>
      </c>
      <c r="C7" s="204" t="s">
        <v>431</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53-Soybeans</vt:lpstr>
      <vt:lpstr>Formulas</vt:lpstr>
      <vt:lpstr>Depreciation Graph</vt:lpstr>
      <vt:lpstr>CropInsurance</vt:lpstr>
      <vt:lpstr>ImpDepLookup</vt:lpstr>
      <vt:lpstr>pd</vt:lpstr>
      <vt:lpstr>'53-Soybeans'!Print_Area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2014-12-10T17:51:56Z</dcterms:modified>
</cp:coreProperties>
</file>