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2.xml" ContentType="application/vnd.openxmlformats-officedocument.spreadsheetml.comments+xml"/>
  <Override PartName="/xl/tables/table9.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wilson6\Documents\2-Budgets\Crops Traditional\2015\Website Ready\"/>
    </mc:Choice>
  </mc:AlternateContent>
  <bookViews>
    <workbookView xWindow="0" yWindow="0" windowWidth="19200" windowHeight="12165" activeTab="6"/>
  </bookViews>
  <sheets>
    <sheet name="Title" sheetId="139" r:id="rId1"/>
    <sheet name="General Variables" sheetId="49" state="hidden" r:id="rId2"/>
    <sheet name="Power Units" sheetId="48" state="hidden" r:id="rId3"/>
    <sheet name="Operations" sheetId="1" state="hidden" r:id="rId4"/>
    <sheet name="Price Check" sheetId="136" state="hidden" r:id="rId5"/>
    <sheet name="Materials" sheetId="2" state="hidden" r:id="rId6"/>
    <sheet name="5-Alfalfa" sheetId="120" r:id="rId7"/>
    <sheet name="Formulas" sheetId="57" state="hidden" r:id="rId8"/>
    <sheet name="Depreciation Graph" sheetId="52" state="hidden" r:id="rId9"/>
  </sheets>
  <externalReferences>
    <externalReference r:id="rId10"/>
  </externalReferences>
  <definedNames>
    <definedName name="_xlnm._FilterDatabase" localSheetId="3" hidden="1">Operations!$A$1:$B$102</definedName>
    <definedName name="CropInsurance" localSheetId="0">'[1]General Variables'!$A$18:$B$33</definedName>
    <definedName name="CropInsurance">'General Variables'!$A$18:$B$33</definedName>
    <definedName name="ImpDepLookup" localSheetId="0">[1]Operations!$AE$2:$AH$11</definedName>
    <definedName name="ImpDepLookup">Operations!$AE$2:$AH$11</definedName>
    <definedName name="pd" localSheetId="0">[1]!Table1[[Machine]:[ C3 ]]</definedName>
    <definedName name="pd">Table1[[Machine]:[ C3 ]]</definedName>
    <definedName name="_xlnm.Print_Area" localSheetId="6">'5-Alfalfa'!$A$2:$L$73</definedName>
    <definedName name="_xlnm.Print_Area" localSheetId="1">'General Variables'!$A$1:$I$63</definedName>
    <definedName name="_xlnm.Print_Area" localSheetId="5">Materials!$B$1:$H$111</definedName>
    <definedName name="_xlnm.Print_Area" localSheetId="3">Operations!$A$1:$J$2</definedName>
    <definedName name="_xlnm.Print_Area" localSheetId="4">'Price Check'!$A$2:$L$73</definedName>
    <definedName name="_xlnm.Print_Area" localSheetId="0">Title!$A$1:$O$58</definedName>
    <definedName name="PwrDepreciation" localSheetId="8">Table1[[Machine]:[ C3 ]]</definedName>
    <definedName name="PwrDepreciation" localSheetId="4">Table1[[Machine]:[ C3 ]]</definedName>
    <definedName name="PwrDepreciation" localSheetId="0">[1]!Table1[[Machine]:[ C3 ]]</definedName>
    <definedName name="PwrDepreciation">Table1[[Machine]:[ C3 ]]</definedName>
    <definedName name="PwrUnit">Operations!$AO$1:$AO$11</definedName>
    <definedName name="RETable" localSheetId="4">Table9[#All]</definedName>
    <definedName name="RETable" localSheetId="0">[1]!Table9[#All]</definedName>
    <definedName name="RETable">Table9[#All]</definedName>
    <definedName name="REValue">'General Variables'!$E$5:$F$13</definedName>
  </definedNames>
  <calcPr calcId="152511" calcMode="manual"/>
</workbook>
</file>

<file path=xl/calcChain.xml><?xml version="1.0" encoding="utf-8"?>
<calcChain xmlns="http://schemas.openxmlformats.org/spreadsheetml/2006/main">
  <c r="C109" i="120" l="1"/>
  <c r="C110" i="120"/>
  <c r="C111" i="120"/>
  <c r="C112" i="120"/>
  <c r="C113" i="120"/>
  <c r="C114" i="120"/>
  <c r="C115" i="120"/>
  <c r="C116" i="120"/>
  <c r="C117" i="120"/>
  <c r="C118" i="120"/>
  <c r="C119" i="120"/>
  <c r="C120" i="120"/>
  <c r="C121" i="120"/>
  <c r="C122" i="120"/>
  <c r="C123" i="120"/>
  <c r="C124" i="120"/>
  <c r="C125" i="120"/>
  <c r="C126" i="120"/>
  <c r="C127" i="120"/>
  <c r="C128" i="120"/>
  <c r="C129" i="120"/>
  <c r="C130" i="120"/>
  <c r="C131" i="120"/>
  <c r="C132" i="120"/>
  <c r="C133" i="120"/>
  <c r="C134" i="120"/>
  <c r="C135" i="120"/>
  <c r="C136" i="120"/>
  <c r="C137" i="120"/>
  <c r="C138" i="120"/>
  <c r="C139" i="120"/>
  <c r="C140" i="120"/>
  <c r="C141" i="120"/>
  <c r="C142" i="120"/>
  <c r="C143" i="120"/>
  <c r="C144" i="120"/>
  <c r="C145" i="120"/>
  <c r="C146" i="120"/>
  <c r="C147" i="120"/>
  <c r="C148" i="120"/>
  <c r="C149" i="120"/>
  <c r="C150" i="120"/>
  <c r="C151" i="120"/>
  <c r="C152" i="120"/>
  <c r="C153" i="120"/>
  <c r="C154" i="120"/>
  <c r="C155" i="120"/>
  <c r="C156" i="120"/>
  <c r="C157" i="120"/>
  <c r="C158" i="120"/>
  <c r="C159" i="120"/>
  <c r="C160" i="120"/>
  <c r="C161" i="120"/>
  <c r="C162" i="120"/>
  <c r="C163" i="120"/>
  <c r="C164" i="120"/>
  <c r="C165" i="120"/>
  <c r="C166" i="120"/>
  <c r="C167" i="120"/>
  <c r="C168" i="120"/>
  <c r="C169" i="120"/>
  <c r="C170" i="120"/>
  <c r="C171" i="120"/>
  <c r="C172" i="120"/>
  <c r="C173" i="120"/>
  <c r="C174" i="120"/>
  <c r="C175" i="120"/>
  <c r="C176" i="120"/>
  <c r="C177" i="120"/>
  <c r="C178" i="120"/>
  <c r="C179" i="120"/>
  <c r="C180" i="120"/>
  <c r="C181" i="120"/>
  <c r="C182" i="120"/>
  <c r="C183" i="120"/>
  <c r="C184" i="120"/>
  <c r="C185" i="120"/>
  <c r="C186" i="120"/>
  <c r="C187" i="120"/>
  <c r="C188" i="120"/>
  <c r="C189" i="120"/>
  <c r="C190" i="120"/>
  <c r="C191" i="120"/>
  <c r="C192" i="120"/>
  <c r="C193" i="120"/>
  <c r="C194" i="120"/>
  <c r="C195" i="120"/>
  <c r="C196" i="120"/>
  <c r="C197" i="120"/>
  <c r="C198" i="120"/>
  <c r="C199" i="120"/>
  <c r="C200" i="120"/>
  <c r="C201" i="120"/>
  <c r="C202" i="120"/>
  <c r="C203" i="120"/>
  <c r="C204" i="120"/>
  <c r="C205" i="120"/>
  <c r="C206" i="120"/>
  <c r="C207" i="120"/>
  <c r="C208" i="120"/>
  <c r="C209" i="120"/>
  <c r="C210" i="120"/>
  <c r="C211" i="120"/>
  <c r="C212" i="120"/>
  <c r="C213" i="120"/>
  <c r="C214" i="120"/>
  <c r="C215" i="120"/>
  <c r="C216" i="120"/>
  <c r="C217" i="120"/>
  <c r="C218" i="120"/>
  <c r="C219" i="120"/>
  <c r="C220" i="120"/>
  <c r="C221" i="120"/>
  <c r="C222" i="120"/>
  <c r="C223" i="120"/>
  <c r="C224" i="120"/>
  <c r="C225" i="120"/>
  <c r="C226" i="120"/>
  <c r="C227" i="120"/>
  <c r="C228" i="120"/>
  <c r="C229" i="120"/>
  <c r="C230" i="120"/>
  <c r="C231" i="120"/>
  <c r="B180" i="120"/>
  <c r="B181" i="120"/>
  <c r="B182" i="120"/>
  <c r="B183" i="120"/>
  <c r="B184" i="120"/>
  <c r="H42" i="2"/>
  <c r="H41" i="2"/>
  <c r="F13" i="49" l="1"/>
  <c r="H42" i="49" l="1"/>
  <c r="H43" i="49"/>
  <c r="H44" i="49"/>
  <c r="H45" i="49"/>
  <c r="H46" i="49"/>
  <c r="H47" i="49"/>
  <c r="H48" i="49"/>
  <c r="H49" i="49"/>
  <c r="H50" i="49"/>
  <c r="H51" i="49"/>
  <c r="H52" i="49"/>
  <c r="H53" i="49"/>
  <c r="H54" i="49"/>
  <c r="H55" i="49"/>
  <c r="H56" i="49"/>
  <c r="H57" i="49"/>
  <c r="H58" i="49"/>
  <c r="H59" i="49"/>
  <c r="H60" i="49"/>
  <c r="H61" i="49"/>
  <c r="H62" i="49"/>
  <c r="H41" i="49"/>
  <c r="I41" i="49"/>
  <c r="D42" i="49"/>
  <c r="E42" i="49"/>
  <c r="D43" i="49"/>
  <c r="E43" i="49"/>
  <c r="D44" i="49"/>
  <c r="E44" i="49"/>
  <c r="D45" i="49"/>
  <c r="E45" i="49"/>
  <c r="D46" i="49"/>
  <c r="E46" i="49"/>
  <c r="D47" i="49"/>
  <c r="E47" i="49"/>
  <c r="D48" i="49"/>
  <c r="E48" i="49"/>
  <c r="D49" i="49"/>
  <c r="E49" i="49"/>
  <c r="D50" i="49"/>
  <c r="E50" i="49"/>
  <c r="D51" i="49"/>
  <c r="E51" i="49"/>
  <c r="D52" i="49"/>
  <c r="E52" i="49"/>
  <c r="D53" i="49"/>
  <c r="E53" i="49"/>
  <c r="D54" i="49"/>
  <c r="E54" i="49"/>
  <c r="D55" i="49"/>
  <c r="E55" i="49"/>
  <c r="D56" i="49"/>
  <c r="E56" i="49"/>
  <c r="D57" i="49"/>
  <c r="E57" i="49"/>
  <c r="D58" i="49"/>
  <c r="E58" i="49"/>
  <c r="D59" i="49"/>
  <c r="E59" i="49"/>
  <c r="D60" i="49"/>
  <c r="E60" i="49"/>
  <c r="D61" i="49"/>
  <c r="E61" i="49"/>
  <c r="D62" i="49"/>
  <c r="E62" i="49"/>
  <c r="D41" i="49"/>
  <c r="E41" i="49"/>
  <c r="A42" i="49"/>
  <c r="A43" i="49"/>
  <c r="A44" i="49"/>
  <c r="A45" i="49"/>
  <c r="A46" i="49"/>
  <c r="A47" i="49"/>
  <c r="A48" i="49"/>
  <c r="A49" i="49"/>
  <c r="A50" i="49"/>
  <c r="A51" i="49"/>
  <c r="A52" i="49"/>
  <c r="A53" i="49"/>
  <c r="A54" i="49"/>
  <c r="A55" i="49"/>
  <c r="A56" i="49"/>
  <c r="A57" i="49"/>
  <c r="A58" i="49"/>
  <c r="A59" i="49"/>
  <c r="A60" i="49"/>
  <c r="A61" i="49"/>
  <c r="A62" i="49"/>
  <c r="A63" i="49"/>
  <c r="A41" i="49"/>
  <c r="J38" i="1" l="1"/>
  <c r="E10" i="136"/>
  <c r="H5" i="1"/>
  <c r="I5" i="1"/>
  <c r="F10" i="136"/>
  <c r="C226" i="136"/>
  <c r="C225" i="136"/>
  <c r="C224" i="136"/>
  <c r="C223" i="136"/>
  <c r="C222" i="136"/>
  <c r="C221" i="136"/>
  <c r="C220" i="136"/>
  <c r="C219" i="136"/>
  <c r="C218" i="136"/>
  <c r="C217" i="136"/>
  <c r="C216" i="136"/>
  <c r="C215" i="136"/>
  <c r="C214" i="136"/>
  <c r="C213" i="136"/>
  <c r="C212" i="136"/>
  <c r="C211" i="136"/>
  <c r="C210" i="136"/>
  <c r="C209" i="136"/>
  <c r="C208" i="136"/>
  <c r="C207" i="136"/>
  <c r="B207" i="136"/>
  <c r="C206" i="136"/>
  <c r="B206" i="136"/>
  <c r="C205" i="136"/>
  <c r="B205" i="136"/>
  <c r="C204" i="136"/>
  <c r="B204" i="136"/>
  <c r="C203" i="136"/>
  <c r="B203" i="136"/>
  <c r="C202" i="136"/>
  <c r="B202" i="136"/>
  <c r="C201" i="136"/>
  <c r="B201" i="136"/>
  <c r="C200" i="136"/>
  <c r="B200" i="136"/>
  <c r="C199" i="136"/>
  <c r="B199" i="136"/>
  <c r="C198" i="136"/>
  <c r="B198" i="136"/>
  <c r="C197" i="136"/>
  <c r="B197" i="136"/>
  <c r="C196" i="136"/>
  <c r="B196" i="136"/>
  <c r="C195" i="136"/>
  <c r="B195" i="136"/>
  <c r="C194" i="136"/>
  <c r="B194" i="136"/>
  <c r="C193" i="136"/>
  <c r="B193" i="136"/>
  <c r="C192" i="136"/>
  <c r="B192" i="136"/>
  <c r="C191" i="136"/>
  <c r="B191" i="136"/>
  <c r="C190" i="136"/>
  <c r="B190" i="136"/>
  <c r="C189" i="136"/>
  <c r="B189" i="136"/>
  <c r="C188" i="136"/>
  <c r="B188" i="136"/>
  <c r="C187" i="136"/>
  <c r="B187" i="136"/>
  <c r="C186" i="136"/>
  <c r="B186" i="136"/>
  <c r="C185" i="136"/>
  <c r="B185" i="136"/>
  <c r="C184" i="136"/>
  <c r="B184" i="136"/>
  <c r="C183" i="136"/>
  <c r="B183" i="136"/>
  <c r="C182" i="136"/>
  <c r="B182" i="136"/>
  <c r="C181" i="136"/>
  <c r="B181" i="136"/>
  <c r="C180" i="136"/>
  <c r="B180" i="136"/>
  <c r="C179" i="136"/>
  <c r="B179" i="136"/>
  <c r="C178" i="136"/>
  <c r="B178" i="136"/>
  <c r="C177" i="136"/>
  <c r="B177" i="136"/>
  <c r="C176" i="136"/>
  <c r="B176" i="136"/>
  <c r="C175" i="136"/>
  <c r="B175" i="136"/>
  <c r="C174" i="136"/>
  <c r="B174" i="136"/>
  <c r="C173" i="136"/>
  <c r="B173" i="136"/>
  <c r="C172" i="136"/>
  <c r="B172" i="136"/>
  <c r="C171" i="136"/>
  <c r="B171" i="136"/>
  <c r="C170" i="136"/>
  <c r="B170" i="136"/>
  <c r="C169" i="136"/>
  <c r="B169" i="136"/>
  <c r="C168" i="136"/>
  <c r="B168" i="136"/>
  <c r="C167" i="136"/>
  <c r="B167" i="136"/>
  <c r="C166" i="136"/>
  <c r="B166" i="136"/>
  <c r="C165" i="136"/>
  <c r="B165" i="136"/>
  <c r="C164" i="136"/>
  <c r="B164" i="136"/>
  <c r="C163" i="136"/>
  <c r="B163" i="136"/>
  <c r="C162" i="136"/>
  <c r="B162" i="136"/>
  <c r="C161" i="136"/>
  <c r="B161" i="136"/>
  <c r="C160" i="136"/>
  <c r="B160" i="136"/>
  <c r="C159" i="136"/>
  <c r="B159" i="136"/>
  <c r="C158" i="136"/>
  <c r="B158" i="136"/>
  <c r="C157" i="136"/>
  <c r="B157" i="136"/>
  <c r="C156" i="136"/>
  <c r="B156" i="136"/>
  <c r="C155" i="136"/>
  <c r="B155" i="136"/>
  <c r="C154" i="136"/>
  <c r="B154" i="136"/>
  <c r="C153" i="136"/>
  <c r="B153" i="136"/>
  <c r="C152" i="136"/>
  <c r="B152" i="136"/>
  <c r="C151" i="136"/>
  <c r="B151" i="136"/>
  <c r="C150" i="136"/>
  <c r="B150" i="136"/>
  <c r="C149" i="136"/>
  <c r="B149" i="136"/>
  <c r="C148" i="136"/>
  <c r="B148" i="136"/>
  <c r="C147" i="136"/>
  <c r="B147" i="136"/>
  <c r="C146" i="136"/>
  <c r="B146" i="136"/>
  <c r="C145" i="136"/>
  <c r="B145" i="136"/>
  <c r="C144" i="136"/>
  <c r="B144" i="136"/>
  <c r="C143" i="136"/>
  <c r="B143" i="136"/>
  <c r="C142" i="136"/>
  <c r="B142" i="136"/>
  <c r="C141" i="136"/>
  <c r="B141" i="136"/>
  <c r="C140" i="136"/>
  <c r="B140" i="136"/>
  <c r="C139" i="136"/>
  <c r="B139" i="136"/>
  <c r="C138" i="136"/>
  <c r="B138" i="136"/>
  <c r="C137" i="136"/>
  <c r="B137" i="136"/>
  <c r="C136" i="136"/>
  <c r="B136" i="136"/>
  <c r="C135" i="136"/>
  <c r="B135" i="136"/>
  <c r="C134" i="136"/>
  <c r="B134" i="136"/>
  <c r="F133" i="136"/>
  <c r="C133" i="136"/>
  <c r="B133" i="136"/>
  <c r="F132" i="136"/>
  <c r="C132" i="136"/>
  <c r="B132" i="136"/>
  <c r="F131" i="136"/>
  <c r="C131" i="136"/>
  <c r="B131" i="136"/>
  <c r="F130" i="136"/>
  <c r="C130" i="136"/>
  <c r="B130" i="136"/>
  <c r="F129" i="136"/>
  <c r="C129" i="136"/>
  <c r="B129" i="136"/>
  <c r="F128" i="136"/>
  <c r="C128" i="136"/>
  <c r="B128" i="136"/>
  <c r="F127" i="136"/>
  <c r="C127" i="136"/>
  <c r="B127" i="136"/>
  <c r="F126" i="136"/>
  <c r="C126" i="136"/>
  <c r="B126" i="136"/>
  <c r="F125" i="136"/>
  <c r="C125" i="136"/>
  <c r="B125" i="136"/>
  <c r="F124" i="136"/>
  <c r="C124" i="136"/>
  <c r="B124" i="136"/>
  <c r="H123" i="136"/>
  <c r="F123" i="136"/>
  <c r="C123" i="136"/>
  <c r="B123" i="136"/>
  <c r="H122" i="136"/>
  <c r="F122" i="136"/>
  <c r="C122" i="136"/>
  <c r="B122" i="136"/>
  <c r="H121" i="136"/>
  <c r="F121" i="136"/>
  <c r="C121" i="136"/>
  <c r="B121" i="136"/>
  <c r="H120" i="136"/>
  <c r="F120" i="136"/>
  <c r="C120" i="136"/>
  <c r="B120" i="136"/>
  <c r="H119" i="136"/>
  <c r="F119" i="136"/>
  <c r="C119" i="136"/>
  <c r="B119" i="136"/>
  <c r="H118" i="136"/>
  <c r="F118" i="136"/>
  <c r="C118" i="136"/>
  <c r="B118" i="136"/>
  <c r="H117" i="136"/>
  <c r="F117" i="136"/>
  <c r="C117" i="136"/>
  <c r="B117" i="136"/>
  <c r="H116" i="136"/>
  <c r="F116" i="136"/>
  <c r="C116" i="136"/>
  <c r="B116" i="136"/>
  <c r="H115" i="136"/>
  <c r="F115" i="136"/>
  <c r="C115" i="136"/>
  <c r="B115" i="136"/>
  <c r="H114" i="136"/>
  <c r="F114" i="136"/>
  <c r="C114" i="136"/>
  <c r="B114" i="136"/>
  <c r="H113" i="136"/>
  <c r="F113" i="136"/>
  <c r="C113" i="136"/>
  <c r="B113" i="136"/>
  <c r="H112" i="136"/>
  <c r="F112" i="136"/>
  <c r="C112" i="136"/>
  <c r="B112" i="136"/>
  <c r="H111" i="136"/>
  <c r="F111" i="136"/>
  <c r="C111" i="136"/>
  <c r="B111" i="136"/>
  <c r="H110" i="136"/>
  <c r="F110" i="136"/>
  <c r="C110" i="136"/>
  <c r="B110" i="136"/>
  <c r="H109" i="136"/>
  <c r="F109" i="136"/>
  <c r="C109" i="136"/>
  <c r="B109" i="136"/>
  <c r="H108" i="136"/>
  <c r="F108" i="136"/>
  <c r="C108" i="136"/>
  <c r="B108" i="136"/>
  <c r="K73" i="136"/>
  <c r="B73" i="136"/>
  <c r="K72" i="136"/>
  <c r="B72" i="136"/>
  <c r="I69" i="136"/>
  <c r="F69" i="136"/>
  <c r="I68" i="136"/>
  <c r="F68" i="136"/>
  <c r="K67" i="136"/>
  <c r="I64" i="136"/>
  <c r="H64" i="136"/>
  <c r="K59" i="136"/>
  <c r="J59" i="136"/>
  <c r="I59" i="136"/>
  <c r="H59" i="136"/>
  <c r="G59" i="136"/>
  <c r="C59" i="136"/>
  <c r="K58" i="136"/>
  <c r="J58" i="136"/>
  <c r="I58" i="136"/>
  <c r="C58" i="136"/>
  <c r="K57" i="136"/>
  <c r="J57" i="136"/>
  <c r="I57" i="136"/>
  <c r="C57" i="136"/>
  <c r="K56" i="136"/>
  <c r="J56" i="136"/>
  <c r="I56" i="136"/>
  <c r="C56" i="136"/>
  <c r="K55" i="136"/>
  <c r="J55" i="136"/>
  <c r="I55" i="136"/>
  <c r="C55" i="136"/>
  <c r="K54" i="136"/>
  <c r="J54" i="136"/>
  <c r="I54" i="136"/>
  <c r="C54" i="136"/>
  <c r="K53" i="136"/>
  <c r="J53" i="136"/>
  <c r="I53" i="136"/>
  <c r="C53" i="136"/>
  <c r="K52" i="136"/>
  <c r="J52" i="136"/>
  <c r="I52" i="136"/>
  <c r="C52" i="136"/>
  <c r="K51" i="136"/>
  <c r="J51" i="136"/>
  <c r="I51" i="136"/>
  <c r="C51" i="136"/>
  <c r="K50" i="136"/>
  <c r="J50" i="136"/>
  <c r="I50" i="136"/>
  <c r="C50" i="136"/>
  <c r="K49" i="136"/>
  <c r="J49" i="136"/>
  <c r="I49" i="136"/>
  <c r="C49" i="136"/>
  <c r="K48" i="136"/>
  <c r="J48" i="136"/>
  <c r="I48" i="136"/>
  <c r="C48" i="136"/>
  <c r="K47" i="136"/>
  <c r="J47" i="136"/>
  <c r="I47" i="136"/>
  <c r="C47" i="136"/>
  <c r="K46" i="136"/>
  <c r="J46" i="136"/>
  <c r="I46" i="136"/>
  <c r="C46" i="136"/>
  <c r="K45" i="136"/>
  <c r="J45" i="136"/>
  <c r="I45" i="136"/>
  <c r="C45" i="136"/>
  <c r="K44" i="136"/>
  <c r="J44" i="136"/>
  <c r="I44" i="136"/>
  <c r="C44" i="136"/>
  <c r="K43" i="136"/>
  <c r="J43" i="136"/>
  <c r="I43" i="136"/>
  <c r="C43" i="136"/>
  <c r="K42" i="136"/>
  <c r="J42" i="136"/>
  <c r="I42" i="136"/>
  <c r="C42" i="136"/>
  <c r="K41" i="136"/>
  <c r="J41" i="136"/>
  <c r="I41" i="136"/>
  <c r="C41" i="136"/>
  <c r="K40" i="136"/>
  <c r="J40" i="136"/>
  <c r="I40" i="136"/>
  <c r="C40" i="136"/>
  <c r="K39" i="136"/>
  <c r="J39" i="136"/>
  <c r="I39" i="136"/>
  <c r="C39" i="136"/>
  <c r="K38" i="136"/>
  <c r="J38" i="136"/>
  <c r="I38" i="136"/>
  <c r="C38" i="136"/>
  <c r="K37" i="136"/>
  <c r="J37" i="136"/>
  <c r="I37" i="136"/>
  <c r="C37" i="136"/>
  <c r="K36" i="136"/>
  <c r="J36" i="136"/>
  <c r="I36" i="136"/>
  <c r="C36" i="136"/>
  <c r="K35" i="136"/>
  <c r="J35" i="136"/>
  <c r="I35" i="136"/>
  <c r="C35" i="136"/>
  <c r="J29" i="136"/>
  <c r="I29" i="136"/>
  <c r="H29" i="136"/>
  <c r="G29" i="136"/>
  <c r="F29" i="136"/>
  <c r="E29" i="136"/>
  <c r="J28" i="136"/>
  <c r="I28" i="136"/>
  <c r="H28" i="136"/>
  <c r="G28" i="136"/>
  <c r="F28" i="136"/>
  <c r="E28" i="136"/>
  <c r="J27" i="136"/>
  <c r="I27" i="136"/>
  <c r="H27" i="136"/>
  <c r="G27" i="136"/>
  <c r="F27" i="136"/>
  <c r="E27" i="136"/>
  <c r="J26" i="136"/>
  <c r="I26" i="136"/>
  <c r="H26" i="136"/>
  <c r="G26" i="136"/>
  <c r="F26" i="136"/>
  <c r="E26" i="136"/>
  <c r="J25" i="136"/>
  <c r="I25" i="136"/>
  <c r="H25" i="136"/>
  <c r="G25" i="136"/>
  <c r="F25" i="136"/>
  <c r="E25" i="136"/>
  <c r="J24" i="136"/>
  <c r="I24" i="136"/>
  <c r="H24" i="136"/>
  <c r="G24" i="136"/>
  <c r="F24" i="136"/>
  <c r="E24" i="136"/>
  <c r="J23" i="136"/>
  <c r="I23" i="136"/>
  <c r="H23" i="136"/>
  <c r="G23" i="136"/>
  <c r="F23" i="136"/>
  <c r="E23" i="136"/>
  <c r="J22" i="136"/>
  <c r="I22" i="136"/>
  <c r="H22" i="136"/>
  <c r="G22" i="136"/>
  <c r="F22" i="136"/>
  <c r="E22" i="136"/>
  <c r="J21" i="136"/>
  <c r="I21" i="136"/>
  <c r="H21" i="136"/>
  <c r="G21" i="136"/>
  <c r="F21" i="136"/>
  <c r="E21" i="136"/>
  <c r="J20" i="136"/>
  <c r="I20" i="136"/>
  <c r="H20" i="136"/>
  <c r="G20" i="136"/>
  <c r="F20" i="136"/>
  <c r="E20" i="136"/>
  <c r="J19" i="136"/>
  <c r="I19" i="136"/>
  <c r="H19" i="136"/>
  <c r="G19" i="136"/>
  <c r="F19" i="136"/>
  <c r="E19" i="136"/>
  <c r="J18" i="136"/>
  <c r="I18" i="136"/>
  <c r="H18" i="136"/>
  <c r="G18" i="136"/>
  <c r="F18" i="136"/>
  <c r="E18" i="136"/>
  <c r="J17" i="136"/>
  <c r="I17" i="136"/>
  <c r="H17" i="136"/>
  <c r="G17" i="136"/>
  <c r="F17" i="136"/>
  <c r="E17" i="136"/>
  <c r="J16" i="136"/>
  <c r="I16" i="136"/>
  <c r="H16" i="136"/>
  <c r="G16" i="136"/>
  <c r="F16" i="136"/>
  <c r="E16" i="136"/>
  <c r="J15" i="136"/>
  <c r="I15" i="136"/>
  <c r="H15" i="136"/>
  <c r="G15" i="136"/>
  <c r="F15" i="136"/>
  <c r="E15" i="136"/>
  <c r="J14" i="136"/>
  <c r="I14" i="136"/>
  <c r="H14" i="136"/>
  <c r="G14" i="136"/>
  <c r="F14" i="136"/>
  <c r="E14" i="136"/>
  <c r="J13" i="136"/>
  <c r="I13" i="136"/>
  <c r="H13" i="136"/>
  <c r="G13" i="136"/>
  <c r="F13" i="136"/>
  <c r="E13" i="136"/>
  <c r="J12" i="136"/>
  <c r="I12" i="136"/>
  <c r="H12" i="136"/>
  <c r="G12" i="136"/>
  <c r="F12" i="136"/>
  <c r="E12" i="136"/>
  <c r="F11" i="136"/>
  <c r="E11" i="136"/>
  <c r="F8" i="136"/>
  <c r="E8" i="136"/>
  <c r="A6" i="136"/>
  <c r="A5" i="136"/>
  <c r="O4" i="136"/>
  <c r="I3" i="136"/>
  <c r="K2" i="136"/>
  <c r="K68" i="136" l="1"/>
  <c r="K69" i="136"/>
  <c r="K61" i="136"/>
  <c r="E31" i="136"/>
  <c r="K19" i="136"/>
  <c r="K28" i="136"/>
  <c r="K13" i="136"/>
  <c r="K21" i="136"/>
  <c r="K29" i="136"/>
  <c r="K18" i="136"/>
  <c r="K17" i="136"/>
  <c r="K12" i="136"/>
  <c r="K14" i="136"/>
  <c r="F31" i="136"/>
  <c r="K20" i="136"/>
  <c r="K22" i="136"/>
  <c r="K27" i="136"/>
  <c r="K26" i="136"/>
  <c r="K16" i="136"/>
  <c r="K25" i="136"/>
  <c r="K15" i="136"/>
  <c r="K24" i="136"/>
  <c r="K23" i="136"/>
  <c r="G67" i="2" l="1"/>
  <c r="G116" i="2"/>
  <c r="G114" i="2"/>
  <c r="G115" i="2"/>
  <c r="D116" i="2"/>
  <c r="G26" i="2"/>
  <c r="A6" i="120" l="1"/>
  <c r="H40" i="120" l="1"/>
  <c r="C40" i="120"/>
  <c r="C39" i="120"/>
  <c r="J42" i="1" l="1"/>
  <c r="H42" i="1"/>
  <c r="F115" i="120" l="1"/>
  <c r="F116" i="120"/>
  <c r="F117" i="120"/>
  <c r="F118" i="120"/>
  <c r="F119" i="120"/>
  <c r="F120" i="120"/>
  <c r="F121" i="120"/>
  <c r="J40" i="1"/>
  <c r="H40" i="1"/>
  <c r="H110" i="2" l="1"/>
  <c r="H120" i="2"/>
  <c r="H79" i="2"/>
  <c r="H77" i="2"/>
  <c r="H103" i="2"/>
  <c r="H38" i="2"/>
  <c r="H91" i="2"/>
  <c r="H89" i="2"/>
  <c r="H122" i="2"/>
  <c r="B207" i="120" l="1"/>
  <c r="B206" i="120"/>
  <c r="B205" i="120"/>
  <c r="B204" i="120"/>
  <c r="B203" i="120"/>
  <c r="B202" i="120"/>
  <c r="B201" i="120"/>
  <c r="B200" i="120"/>
  <c r="B199" i="120"/>
  <c r="B198" i="120"/>
  <c r="B197" i="120"/>
  <c r="B196" i="120"/>
  <c r="B195" i="120"/>
  <c r="B194" i="120"/>
  <c r="B193" i="120"/>
  <c r="B192" i="120"/>
  <c r="B191" i="120"/>
  <c r="B190" i="120"/>
  <c r="B189" i="120"/>
  <c r="B188" i="120"/>
  <c r="B187" i="120"/>
  <c r="B186" i="120"/>
  <c r="B185" i="120"/>
  <c r="B179" i="120"/>
  <c r="B178" i="120"/>
  <c r="B177" i="120"/>
  <c r="B176" i="120"/>
  <c r="B175" i="120"/>
  <c r="B174" i="120"/>
  <c r="B173" i="120"/>
  <c r="B172" i="120"/>
  <c r="B171" i="120"/>
  <c r="B170" i="120"/>
  <c r="B169" i="120"/>
  <c r="B168" i="120"/>
  <c r="B167" i="120"/>
  <c r="B166" i="120"/>
  <c r="B165" i="120"/>
  <c r="B164" i="120"/>
  <c r="B163" i="120"/>
  <c r="B162" i="120"/>
  <c r="B161" i="120"/>
  <c r="B160" i="120"/>
  <c r="B159" i="120"/>
  <c r="B158" i="120"/>
  <c r="B157" i="120"/>
  <c r="B156" i="120"/>
  <c r="B155" i="120"/>
  <c r="B154" i="120"/>
  <c r="B153" i="120"/>
  <c r="B152" i="120"/>
  <c r="B151" i="120"/>
  <c r="B150" i="120"/>
  <c r="B149" i="120"/>
  <c r="B148" i="120"/>
  <c r="B147" i="120"/>
  <c r="B146" i="120"/>
  <c r="B145" i="120"/>
  <c r="B144" i="120"/>
  <c r="B143" i="120"/>
  <c r="B142" i="120"/>
  <c r="B141" i="120"/>
  <c r="B140" i="120"/>
  <c r="B139" i="120"/>
  <c r="B138" i="120"/>
  <c r="B137" i="120"/>
  <c r="B136" i="120"/>
  <c r="B135" i="120"/>
  <c r="B134" i="120"/>
  <c r="F133" i="120"/>
  <c r="B133" i="120"/>
  <c r="F132" i="120"/>
  <c r="B132" i="120"/>
  <c r="F131" i="120"/>
  <c r="B131" i="120"/>
  <c r="F130" i="120"/>
  <c r="B130" i="120"/>
  <c r="F129" i="120"/>
  <c r="B129" i="120"/>
  <c r="F128" i="120"/>
  <c r="B128" i="120"/>
  <c r="F127" i="120"/>
  <c r="B127" i="120"/>
  <c r="F126" i="120"/>
  <c r="B126" i="120"/>
  <c r="F125" i="120"/>
  <c r="B125" i="120"/>
  <c r="F124" i="120"/>
  <c r="B124" i="120"/>
  <c r="F123" i="120"/>
  <c r="B123" i="120"/>
  <c r="F122" i="120"/>
  <c r="B122" i="120"/>
  <c r="B121" i="120"/>
  <c r="B120" i="120"/>
  <c r="B119" i="120"/>
  <c r="B118" i="120"/>
  <c r="B117" i="120"/>
  <c r="B116" i="120"/>
  <c r="B115" i="120"/>
  <c r="F114" i="120"/>
  <c r="B114" i="120"/>
  <c r="F113" i="120"/>
  <c r="B113" i="120"/>
  <c r="F112" i="120"/>
  <c r="B112" i="120"/>
  <c r="F111" i="120"/>
  <c r="B111" i="120"/>
  <c r="F110" i="120"/>
  <c r="B110" i="120"/>
  <c r="F109" i="120"/>
  <c r="B109" i="120"/>
  <c r="F108" i="120"/>
  <c r="C108" i="120"/>
  <c r="B108" i="120"/>
  <c r="B73" i="120"/>
  <c r="B72" i="120"/>
  <c r="I69" i="120"/>
  <c r="F69" i="120"/>
  <c r="I68" i="120"/>
  <c r="F68" i="120"/>
  <c r="K67" i="120"/>
  <c r="I64" i="120"/>
  <c r="H64" i="120"/>
  <c r="K59" i="120"/>
  <c r="J59" i="120"/>
  <c r="I59" i="120"/>
  <c r="C59" i="120"/>
  <c r="K58" i="120"/>
  <c r="J58" i="120"/>
  <c r="I58" i="120"/>
  <c r="C58" i="120"/>
  <c r="K57" i="120"/>
  <c r="J57" i="120"/>
  <c r="I57" i="120"/>
  <c r="C57" i="120"/>
  <c r="K56" i="120"/>
  <c r="J56" i="120"/>
  <c r="I56" i="120"/>
  <c r="C56" i="120"/>
  <c r="K55" i="120"/>
  <c r="J55" i="120"/>
  <c r="I55" i="120"/>
  <c r="C55" i="120"/>
  <c r="K54" i="120"/>
  <c r="J54" i="120"/>
  <c r="I54" i="120"/>
  <c r="C54" i="120"/>
  <c r="K53" i="120"/>
  <c r="J53" i="120"/>
  <c r="I53" i="120"/>
  <c r="C53" i="120"/>
  <c r="K52" i="120"/>
  <c r="J52" i="120"/>
  <c r="I52" i="120"/>
  <c r="C52" i="120"/>
  <c r="K51" i="120"/>
  <c r="J51" i="120"/>
  <c r="I51" i="120"/>
  <c r="C51" i="120"/>
  <c r="K50" i="120"/>
  <c r="J50" i="120"/>
  <c r="I50" i="120"/>
  <c r="C50" i="120"/>
  <c r="K49" i="120"/>
  <c r="J49" i="120"/>
  <c r="I49" i="120"/>
  <c r="C49" i="120"/>
  <c r="K48" i="120"/>
  <c r="J48" i="120"/>
  <c r="I48" i="120"/>
  <c r="C48" i="120"/>
  <c r="K47" i="120"/>
  <c r="J47" i="120"/>
  <c r="I47" i="120"/>
  <c r="C47" i="120"/>
  <c r="K46" i="120"/>
  <c r="J46" i="120"/>
  <c r="I46" i="120"/>
  <c r="C46" i="120"/>
  <c r="K45" i="120"/>
  <c r="J45" i="120"/>
  <c r="I45" i="120"/>
  <c r="C45" i="120"/>
  <c r="K44" i="120"/>
  <c r="J44" i="120"/>
  <c r="I44" i="120"/>
  <c r="C44" i="120"/>
  <c r="K43" i="120"/>
  <c r="J43" i="120"/>
  <c r="I43" i="120"/>
  <c r="C43" i="120"/>
  <c r="K42" i="120"/>
  <c r="J42" i="120"/>
  <c r="I42" i="120"/>
  <c r="C42" i="120"/>
  <c r="I41" i="120"/>
  <c r="C41" i="120"/>
  <c r="I40" i="120"/>
  <c r="I39" i="120"/>
  <c r="I38" i="120"/>
  <c r="C38" i="120"/>
  <c r="I37" i="120"/>
  <c r="C37" i="120"/>
  <c r="I36" i="120"/>
  <c r="C36" i="120"/>
  <c r="I35" i="120"/>
  <c r="C35" i="120"/>
  <c r="J29" i="120"/>
  <c r="I29" i="120"/>
  <c r="H29" i="120"/>
  <c r="G29" i="120"/>
  <c r="F29" i="120"/>
  <c r="E29" i="120"/>
  <c r="J28" i="120"/>
  <c r="I28" i="120"/>
  <c r="H28" i="120"/>
  <c r="G28" i="120"/>
  <c r="F28" i="120"/>
  <c r="E28" i="120"/>
  <c r="J27" i="120"/>
  <c r="I27" i="120"/>
  <c r="H27" i="120"/>
  <c r="G27" i="120"/>
  <c r="F27" i="120"/>
  <c r="E27" i="120"/>
  <c r="J26" i="120"/>
  <c r="I26" i="120"/>
  <c r="H26" i="120"/>
  <c r="G26" i="120"/>
  <c r="F26" i="120"/>
  <c r="E26" i="120"/>
  <c r="J25" i="120"/>
  <c r="I25" i="120"/>
  <c r="H25" i="120"/>
  <c r="G25" i="120"/>
  <c r="F25" i="120"/>
  <c r="E25" i="120"/>
  <c r="J24" i="120"/>
  <c r="I24" i="120"/>
  <c r="H24" i="120"/>
  <c r="G24" i="120"/>
  <c r="F24" i="120"/>
  <c r="E24" i="120"/>
  <c r="J23" i="120"/>
  <c r="I23" i="120"/>
  <c r="H23" i="120"/>
  <c r="G23" i="120"/>
  <c r="F23" i="120"/>
  <c r="E23" i="120"/>
  <c r="J22" i="120"/>
  <c r="I22" i="120"/>
  <c r="H22" i="120"/>
  <c r="G22" i="120"/>
  <c r="F22" i="120"/>
  <c r="E22" i="120"/>
  <c r="J21" i="120"/>
  <c r="I21" i="120"/>
  <c r="H21" i="120"/>
  <c r="G21" i="120"/>
  <c r="F21" i="120"/>
  <c r="E21" i="120"/>
  <c r="J20" i="120"/>
  <c r="I20" i="120"/>
  <c r="H20" i="120"/>
  <c r="G20" i="120"/>
  <c r="F20" i="120"/>
  <c r="E20" i="120"/>
  <c r="C19" i="120"/>
  <c r="C18" i="120"/>
  <c r="E17" i="120"/>
  <c r="E16" i="120"/>
  <c r="E15" i="120"/>
  <c r="E14" i="120"/>
  <c r="E13" i="120"/>
  <c r="E12" i="120"/>
  <c r="E11" i="120"/>
  <c r="E10" i="120"/>
  <c r="F8" i="120"/>
  <c r="E8" i="120"/>
  <c r="A5" i="120"/>
  <c r="O4" i="120"/>
  <c r="I3" i="120"/>
  <c r="K2" i="120"/>
  <c r="K69" i="120" l="1"/>
  <c r="K68" i="120"/>
  <c r="E19" i="120"/>
  <c r="E18" i="120"/>
  <c r="K27" i="120"/>
  <c r="K28" i="120"/>
  <c r="K24" i="120"/>
  <c r="K22" i="120"/>
  <c r="K26" i="120"/>
  <c r="K25" i="120"/>
  <c r="K23" i="120"/>
  <c r="K21" i="120"/>
  <c r="K20" i="120"/>
  <c r="K29" i="120"/>
  <c r="O35" i="1"/>
  <c r="E31" i="120" l="1"/>
  <c r="O63" i="1" l="1"/>
  <c r="N98" i="1" l="1"/>
  <c r="N99" i="1"/>
  <c r="O98" i="1"/>
  <c r="O99" i="1"/>
  <c r="S98" i="1"/>
  <c r="S99" i="1"/>
  <c r="T98" i="1"/>
  <c r="T99" i="1"/>
  <c r="Q99" i="1" l="1"/>
  <c r="P99" i="1"/>
  <c r="P98" i="1"/>
  <c r="Q98" i="1"/>
  <c r="R99" i="1"/>
  <c r="U99" i="1" s="1"/>
  <c r="R98" i="1"/>
  <c r="U98" i="1" s="1"/>
  <c r="H88" i="2" l="1"/>
  <c r="H105" i="2"/>
  <c r="H90" i="2"/>
  <c r="H111" i="2"/>
  <c r="H71" i="2"/>
  <c r="H112" i="2"/>
  <c r="H75" i="2"/>
  <c r="H4" i="2"/>
  <c r="H87" i="2"/>
  <c r="H67" i="2"/>
  <c r="H37" i="2"/>
  <c r="H53" i="2"/>
  <c r="H83" i="2"/>
  <c r="H9" i="2"/>
  <c r="H18" i="2"/>
  <c r="H31" i="2"/>
  <c r="H85" i="2"/>
  <c r="H104" i="2"/>
  <c r="H68" i="2"/>
  <c r="H20" i="2"/>
  <c r="B7" i="49"/>
  <c r="E6" i="57"/>
  <c r="D4" i="57"/>
  <c r="D3" i="57"/>
  <c r="H52" i="2"/>
  <c r="H62" i="2"/>
  <c r="H51" i="2"/>
  <c r="H81" i="2"/>
  <c r="H113" i="2"/>
  <c r="H119" i="2"/>
  <c r="H49" i="2"/>
  <c r="H65" i="2"/>
  <c r="H115" i="2"/>
  <c r="H58" i="2"/>
  <c r="H26" i="2"/>
  <c r="H54" i="2"/>
  <c r="L3" i="52"/>
  <c r="L4" i="52" s="1"/>
  <c r="U2" i="52"/>
  <c r="T2" i="52"/>
  <c r="S2" i="52"/>
  <c r="R2" i="52"/>
  <c r="Q2" i="52"/>
  <c r="P2" i="52"/>
  <c r="O2" i="52"/>
  <c r="N2" i="52"/>
  <c r="M2" i="52"/>
  <c r="N12" i="1"/>
  <c r="N39" i="1"/>
  <c r="N41" i="1"/>
  <c r="H39" i="1"/>
  <c r="J41" i="1"/>
  <c r="J39" i="1"/>
  <c r="H41" i="1"/>
  <c r="O3" i="1"/>
  <c r="O7" i="1"/>
  <c r="O21" i="1"/>
  <c r="O25" i="1"/>
  <c r="O70" i="1"/>
  <c r="O2" i="1"/>
  <c r="O74" i="1"/>
  <c r="O75" i="1"/>
  <c r="O76" i="1"/>
  <c r="O77" i="1"/>
  <c r="O78" i="1"/>
  <c r="O79" i="1"/>
  <c r="O80" i="1"/>
  <c r="O81" i="1"/>
  <c r="O82" i="1"/>
  <c r="O83" i="1"/>
  <c r="O84" i="1"/>
  <c r="O85" i="1"/>
  <c r="O86" i="1"/>
  <c r="O87" i="1"/>
  <c r="O88" i="1"/>
  <c r="O89" i="1"/>
  <c r="O90" i="1"/>
  <c r="O91" i="1"/>
  <c r="O92" i="1"/>
  <c r="O93" i="1"/>
  <c r="O94" i="1"/>
  <c r="O95" i="1"/>
  <c r="O96" i="1"/>
  <c r="O97" i="1"/>
  <c r="O100" i="1"/>
  <c r="O101" i="1"/>
  <c r="T3" i="1"/>
  <c r="T7" i="1"/>
  <c r="T25" i="1"/>
  <c r="T70" i="1"/>
  <c r="T2" i="1"/>
  <c r="T74" i="1"/>
  <c r="T75" i="1"/>
  <c r="T76" i="1"/>
  <c r="T77" i="1"/>
  <c r="T78" i="1"/>
  <c r="T79" i="1"/>
  <c r="T80" i="1"/>
  <c r="T81" i="1"/>
  <c r="T82" i="1"/>
  <c r="T83" i="1"/>
  <c r="T84" i="1"/>
  <c r="T85" i="1"/>
  <c r="T86" i="1"/>
  <c r="T87" i="1"/>
  <c r="T88" i="1"/>
  <c r="T89" i="1"/>
  <c r="T90" i="1"/>
  <c r="T91" i="1"/>
  <c r="T92" i="1"/>
  <c r="T93" i="1"/>
  <c r="T94" i="1"/>
  <c r="T95" i="1"/>
  <c r="T96" i="1"/>
  <c r="T97" i="1"/>
  <c r="T100" i="1"/>
  <c r="T101" i="1"/>
  <c r="S3" i="1"/>
  <c r="S7" i="1"/>
  <c r="S25" i="1"/>
  <c r="S70" i="1"/>
  <c r="S2" i="1"/>
  <c r="S74" i="1"/>
  <c r="S75" i="1"/>
  <c r="S76" i="1"/>
  <c r="S77" i="1"/>
  <c r="S78" i="1"/>
  <c r="S79" i="1"/>
  <c r="S80" i="1"/>
  <c r="S81" i="1"/>
  <c r="S82" i="1"/>
  <c r="S83" i="1"/>
  <c r="S84" i="1"/>
  <c r="S85" i="1"/>
  <c r="S86" i="1"/>
  <c r="S87" i="1"/>
  <c r="S88" i="1"/>
  <c r="S89" i="1"/>
  <c r="S90" i="1"/>
  <c r="S91" i="1"/>
  <c r="S92" i="1"/>
  <c r="S93" i="1"/>
  <c r="S94" i="1"/>
  <c r="S95" i="1"/>
  <c r="S96" i="1"/>
  <c r="S97" i="1"/>
  <c r="S100" i="1"/>
  <c r="S101" i="1"/>
  <c r="N4" i="1"/>
  <c r="N3" i="1"/>
  <c r="N6" i="1"/>
  <c r="N7" i="1"/>
  <c r="N8" i="1"/>
  <c r="N46" i="1"/>
  <c r="N17" i="1"/>
  <c r="N13" i="1"/>
  <c r="N14" i="1"/>
  <c r="N15" i="1"/>
  <c r="N54" i="1"/>
  <c r="N59" i="1"/>
  <c r="N60" i="1"/>
  <c r="N9" i="1"/>
  <c r="N10" i="1"/>
  <c r="N11" i="1"/>
  <c r="N18" i="1"/>
  <c r="N19" i="1"/>
  <c r="N20" i="1"/>
  <c r="N21" i="1"/>
  <c r="P21" i="1" s="1"/>
  <c r="N22" i="1"/>
  <c r="N23" i="1"/>
  <c r="N25" i="1"/>
  <c r="N26" i="1"/>
  <c r="N27" i="1"/>
  <c r="N28" i="1"/>
  <c r="N29" i="1"/>
  <c r="N47" i="1"/>
  <c r="N30" i="1"/>
  <c r="N31" i="1"/>
  <c r="N32" i="1"/>
  <c r="N33" i="1"/>
  <c r="N34" i="1"/>
  <c r="N42" i="1"/>
  <c r="N35" i="1"/>
  <c r="N36" i="1"/>
  <c r="N37" i="1"/>
  <c r="N38" i="1"/>
  <c r="N43" i="1"/>
  <c r="N44" i="1"/>
  <c r="N45" i="1"/>
  <c r="N48" i="1"/>
  <c r="N49" i="1"/>
  <c r="N51" i="1"/>
  <c r="N53" i="1"/>
  <c r="N55" i="1"/>
  <c r="N56" i="1"/>
  <c r="N65" i="1"/>
  <c r="N57" i="1"/>
  <c r="N58" i="1"/>
  <c r="N61" i="1"/>
  <c r="N63" i="1"/>
  <c r="N64" i="1"/>
  <c r="N66" i="1"/>
  <c r="N67" i="1"/>
  <c r="N72" i="1"/>
  <c r="N68" i="1"/>
  <c r="N69" i="1"/>
  <c r="N70" i="1"/>
  <c r="N71" i="1"/>
  <c r="N62" i="1"/>
  <c r="N73" i="1"/>
  <c r="N24" i="1"/>
  <c r="N40" i="1"/>
  <c r="N2" i="1"/>
  <c r="N50" i="1"/>
  <c r="N52" i="1"/>
  <c r="N16" i="1"/>
  <c r="N74" i="1"/>
  <c r="N75" i="1"/>
  <c r="N76" i="1"/>
  <c r="N77" i="1"/>
  <c r="N78" i="1"/>
  <c r="N79" i="1"/>
  <c r="N80" i="1"/>
  <c r="N81" i="1"/>
  <c r="N82" i="1"/>
  <c r="N83" i="1"/>
  <c r="N84" i="1"/>
  <c r="N85" i="1"/>
  <c r="N86" i="1"/>
  <c r="N87" i="1"/>
  <c r="N88" i="1"/>
  <c r="N89" i="1"/>
  <c r="N90" i="1"/>
  <c r="N91" i="1"/>
  <c r="N92" i="1"/>
  <c r="N93" i="1"/>
  <c r="N94" i="1"/>
  <c r="N95" i="1"/>
  <c r="N96" i="1"/>
  <c r="N97" i="1"/>
  <c r="N100" i="1"/>
  <c r="N101" i="1"/>
  <c r="O10" i="48"/>
  <c r="O11" i="48"/>
  <c r="O12" i="48"/>
  <c r="N10" i="48"/>
  <c r="N11" i="48"/>
  <c r="N12" i="48"/>
  <c r="J10" i="48"/>
  <c r="J11" i="48"/>
  <c r="J12" i="48"/>
  <c r="L10" i="48"/>
  <c r="L11" i="48"/>
  <c r="L12" i="48"/>
  <c r="K10" i="48"/>
  <c r="K11" i="48"/>
  <c r="K12" i="48"/>
  <c r="I2" i="48"/>
  <c r="K2" i="48" s="1"/>
  <c r="N2" i="48" s="1"/>
  <c r="I3" i="48"/>
  <c r="L3" i="48" s="1"/>
  <c r="I4" i="48"/>
  <c r="L4" i="48" s="1"/>
  <c r="I5" i="48"/>
  <c r="L5" i="48" s="1"/>
  <c r="I6" i="48"/>
  <c r="L6" i="48" s="1"/>
  <c r="I7" i="48"/>
  <c r="J7" i="48" s="1"/>
  <c r="I8" i="48"/>
  <c r="L8" i="48" s="1"/>
  <c r="I9" i="48"/>
  <c r="L9" i="48" s="1"/>
  <c r="I10" i="48"/>
  <c r="I11" i="48"/>
  <c r="I12" i="48"/>
  <c r="P77" i="1" l="1"/>
  <c r="Q77" i="1"/>
  <c r="P44" i="1"/>
  <c r="Q44" i="1"/>
  <c r="P38" i="1"/>
  <c r="Q38" i="1"/>
  <c r="P46" i="1"/>
  <c r="Q46" i="1"/>
  <c r="P100" i="1"/>
  <c r="Q100" i="1"/>
  <c r="P74" i="1"/>
  <c r="Q74" i="1"/>
  <c r="P64" i="1"/>
  <c r="Q64" i="1"/>
  <c r="P22" i="1"/>
  <c r="Q22" i="1"/>
  <c r="P41" i="1"/>
  <c r="Q41" i="1"/>
  <c r="P81" i="1"/>
  <c r="Q81" i="1"/>
  <c r="P71" i="1"/>
  <c r="Q71" i="1"/>
  <c r="P63" i="1"/>
  <c r="Q63" i="1"/>
  <c r="Q51" i="1"/>
  <c r="P51" i="1"/>
  <c r="P36" i="1"/>
  <c r="Q36" i="1"/>
  <c r="P47" i="1"/>
  <c r="Q47" i="1"/>
  <c r="P59" i="1"/>
  <c r="Q59" i="1"/>
  <c r="P7" i="1"/>
  <c r="Q7" i="1"/>
  <c r="P39" i="1"/>
  <c r="Q39" i="1"/>
  <c r="P84" i="1"/>
  <c r="Q84" i="1"/>
  <c r="Q67" i="1"/>
  <c r="P67" i="1"/>
  <c r="P43" i="1"/>
  <c r="Q43" i="1"/>
  <c r="P10" i="1"/>
  <c r="Q10" i="1"/>
  <c r="P101" i="1"/>
  <c r="Q101" i="1"/>
  <c r="P73" i="1"/>
  <c r="Q73" i="1"/>
  <c r="Q23" i="1"/>
  <c r="P23" i="1"/>
  <c r="P82" i="1"/>
  <c r="Q82" i="1"/>
  <c r="P30" i="1"/>
  <c r="Q30" i="1"/>
  <c r="O52" i="1"/>
  <c r="P52" i="1"/>
  <c r="Q52" i="1"/>
  <c r="Q70" i="1"/>
  <c r="P70" i="1"/>
  <c r="Q61" i="1"/>
  <c r="P61" i="1"/>
  <c r="P49" i="1"/>
  <c r="Q49" i="1"/>
  <c r="P35" i="1"/>
  <c r="S35" i="1" s="1"/>
  <c r="Q35" i="1"/>
  <c r="P29" i="1"/>
  <c r="Q29" i="1"/>
  <c r="P20" i="1"/>
  <c r="Q20" i="1"/>
  <c r="P54" i="1"/>
  <c r="Q54" i="1"/>
  <c r="P85" i="1"/>
  <c r="Q85" i="1"/>
  <c r="P72" i="1"/>
  <c r="Q72" i="1"/>
  <c r="P33" i="1"/>
  <c r="Q33" i="1"/>
  <c r="P11" i="1"/>
  <c r="Q11" i="1"/>
  <c r="P76" i="1"/>
  <c r="Q76" i="1"/>
  <c r="P56" i="1"/>
  <c r="Q56" i="1"/>
  <c r="P25" i="1"/>
  <c r="Q25" i="1"/>
  <c r="Q83" i="1"/>
  <c r="P83" i="1"/>
  <c r="P66" i="1"/>
  <c r="Q66" i="1"/>
  <c r="P31" i="1"/>
  <c r="Q31" i="1"/>
  <c r="P53" i="1"/>
  <c r="Q53" i="1"/>
  <c r="P60" i="1"/>
  <c r="Q60" i="1"/>
  <c r="P89" i="1"/>
  <c r="Q89" i="1"/>
  <c r="P96" i="1"/>
  <c r="Q96" i="1"/>
  <c r="P88" i="1"/>
  <c r="Q88" i="1"/>
  <c r="Q80" i="1"/>
  <c r="P80" i="1"/>
  <c r="P95" i="1"/>
  <c r="Q95" i="1"/>
  <c r="P87" i="1"/>
  <c r="Q87" i="1"/>
  <c r="Q79" i="1"/>
  <c r="P79" i="1"/>
  <c r="O50" i="1"/>
  <c r="P50" i="1"/>
  <c r="Q50" i="1"/>
  <c r="P69" i="1"/>
  <c r="Q69" i="1"/>
  <c r="Q58" i="1"/>
  <c r="P58" i="1"/>
  <c r="Q48" i="1"/>
  <c r="P48" i="1"/>
  <c r="Q42" i="1"/>
  <c r="P42" i="1"/>
  <c r="P28" i="1"/>
  <c r="Q28" i="1"/>
  <c r="P19" i="1"/>
  <c r="Q19" i="1"/>
  <c r="P15" i="1"/>
  <c r="Q15" i="1"/>
  <c r="P3" i="1"/>
  <c r="Q3" i="1"/>
  <c r="P93" i="1"/>
  <c r="Q93" i="1"/>
  <c r="P40" i="1"/>
  <c r="T40" i="1" s="1"/>
  <c r="Q40" i="1"/>
  <c r="P65" i="1"/>
  <c r="Q65" i="1"/>
  <c r="P26" i="1"/>
  <c r="Q26" i="1"/>
  <c r="P92" i="1"/>
  <c r="Q92" i="1"/>
  <c r="Q24" i="1"/>
  <c r="P24" i="1"/>
  <c r="S24" i="1" s="1"/>
  <c r="P32" i="1"/>
  <c r="Q32" i="1"/>
  <c r="P17" i="1"/>
  <c r="Q17" i="1"/>
  <c r="Q91" i="1"/>
  <c r="P91" i="1"/>
  <c r="Q75" i="1"/>
  <c r="P75" i="1"/>
  <c r="P55" i="1"/>
  <c r="Q55" i="1"/>
  <c r="P9" i="1"/>
  <c r="Q9" i="1"/>
  <c r="P90" i="1"/>
  <c r="Q90" i="1"/>
  <c r="O62" i="1"/>
  <c r="P62" i="1"/>
  <c r="Q62" i="1"/>
  <c r="P37" i="1"/>
  <c r="Q37" i="1"/>
  <c r="Q8" i="1"/>
  <c r="P8" i="1"/>
  <c r="P97" i="1"/>
  <c r="Q97" i="1"/>
  <c r="Q94" i="1"/>
  <c r="P94" i="1"/>
  <c r="P86" i="1"/>
  <c r="Q86" i="1"/>
  <c r="Q78" i="1"/>
  <c r="P78" i="1"/>
  <c r="P2" i="1"/>
  <c r="Q2" i="1"/>
  <c r="P68" i="1"/>
  <c r="Q68" i="1"/>
  <c r="P57" i="1"/>
  <c r="Q57" i="1"/>
  <c r="P45" i="1"/>
  <c r="Q45" i="1"/>
  <c r="Q34" i="1"/>
  <c r="P34" i="1"/>
  <c r="S34" i="1" s="1"/>
  <c r="Q27" i="1"/>
  <c r="P27" i="1"/>
  <c r="Q18" i="1"/>
  <c r="P18" i="1"/>
  <c r="P14" i="1"/>
  <c r="Q14" i="1"/>
  <c r="P4" i="1"/>
  <c r="T4" i="1" s="1"/>
  <c r="Q4" i="1"/>
  <c r="P12" i="1"/>
  <c r="Q12" i="1"/>
  <c r="Q13" i="1"/>
  <c r="P13" i="1"/>
  <c r="P16" i="1"/>
  <c r="Q16" i="1"/>
  <c r="P6" i="1"/>
  <c r="Q6" i="1"/>
  <c r="Q21" i="1"/>
  <c r="O16" i="1"/>
  <c r="S42" i="1"/>
  <c r="O42" i="1"/>
  <c r="F15" i="120"/>
  <c r="F11" i="120"/>
  <c r="F13" i="120"/>
  <c r="F14" i="120"/>
  <c r="F10" i="120"/>
  <c r="F17" i="120"/>
  <c r="F16" i="120"/>
  <c r="F12" i="120"/>
  <c r="F19" i="120"/>
  <c r="F18" i="120"/>
  <c r="J37" i="120"/>
  <c r="K37" i="120" s="1"/>
  <c r="J39" i="120"/>
  <c r="K39" i="120" s="1"/>
  <c r="J35" i="120"/>
  <c r="K35" i="120" s="1"/>
  <c r="O34" i="1"/>
  <c r="O66" i="1"/>
  <c r="O39" i="1"/>
  <c r="J9" i="48"/>
  <c r="K9" i="48"/>
  <c r="E3" i="57"/>
  <c r="E4" i="57"/>
  <c r="E7" i="57"/>
  <c r="D5" i="57"/>
  <c r="J5" i="57" s="1"/>
  <c r="D6" i="57"/>
  <c r="D7" i="57"/>
  <c r="O40" i="1"/>
  <c r="O24" i="1"/>
  <c r="O41" i="1"/>
  <c r="L7" i="48"/>
  <c r="L5" i="52"/>
  <c r="T4" i="52"/>
  <c r="R4" i="52"/>
  <c r="P4" i="52"/>
  <c r="N4" i="52"/>
  <c r="U4" i="52"/>
  <c r="S4" i="52"/>
  <c r="Q4" i="52"/>
  <c r="O4" i="52"/>
  <c r="M4" i="52"/>
  <c r="K7" i="48"/>
  <c r="O7" i="48" s="1"/>
  <c r="M3" i="52"/>
  <c r="O3" i="52"/>
  <c r="Q3" i="52"/>
  <c r="S3" i="52"/>
  <c r="U3" i="52"/>
  <c r="N3" i="52"/>
  <c r="P3" i="52"/>
  <c r="R3" i="52"/>
  <c r="T3" i="52"/>
  <c r="O14" i="1"/>
  <c r="O38" i="1"/>
  <c r="J8" i="48"/>
  <c r="K8" i="48"/>
  <c r="M8" i="48" s="1"/>
  <c r="O2" i="48"/>
  <c r="J4" i="48"/>
  <c r="O68" i="1"/>
  <c r="O67" i="1"/>
  <c r="O64" i="1"/>
  <c r="O61" i="1"/>
  <c r="O57" i="1"/>
  <c r="O56" i="1"/>
  <c r="O53" i="1"/>
  <c r="O49" i="1"/>
  <c r="O45" i="1"/>
  <c r="O43" i="1"/>
  <c r="O37" i="1"/>
  <c r="O30" i="1"/>
  <c r="O29" i="1"/>
  <c r="O27" i="1"/>
  <c r="O22" i="1"/>
  <c r="O20" i="1"/>
  <c r="O18" i="1"/>
  <c r="O10" i="1"/>
  <c r="O60" i="1"/>
  <c r="O54" i="1"/>
  <c r="O12" i="1"/>
  <c r="O46" i="1"/>
  <c r="O4" i="1"/>
  <c r="R100" i="1"/>
  <c r="U100" i="1" s="1"/>
  <c r="R96" i="1"/>
  <c r="U96" i="1" s="1"/>
  <c r="R94" i="1"/>
  <c r="U94" i="1" s="1"/>
  <c r="R92" i="1"/>
  <c r="U92" i="1" s="1"/>
  <c r="R90" i="1"/>
  <c r="U90" i="1" s="1"/>
  <c r="R88" i="1"/>
  <c r="U88" i="1" s="1"/>
  <c r="R86" i="1"/>
  <c r="U86" i="1" s="1"/>
  <c r="R84" i="1"/>
  <c r="U84" i="1" s="1"/>
  <c r="R82" i="1"/>
  <c r="U82" i="1" s="1"/>
  <c r="R80" i="1"/>
  <c r="U80" i="1" s="1"/>
  <c r="R78" i="1"/>
  <c r="U78" i="1" s="1"/>
  <c r="R76" i="1"/>
  <c r="U76" i="1" s="1"/>
  <c r="R74" i="1"/>
  <c r="U74" i="1" s="1"/>
  <c r="R2" i="1"/>
  <c r="U2" i="1" s="1"/>
  <c r="R70" i="1"/>
  <c r="U70" i="1" s="1"/>
  <c r="R25" i="1"/>
  <c r="U25" i="1" s="1"/>
  <c r="R7" i="1"/>
  <c r="U7" i="1" s="1"/>
  <c r="R3" i="1"/>
  <c r="U3" i="1" s="1"/>
  <c r="O73" i="1"/>
  <c r="O71" i="1"/>
  <c r="O69" i="1"/>
  <c r="O72" i="1"/>
  <c r="O58" i="1"/>
  <c r="O65" i="1"/>
  <c r="O55" i="1"/>
  <c r="O51" i="1"/>
  <c r="O48" i="1"/>
  <c r="O44" i="1"/>
  <c r="O36" i="1"/>
  <c r="O33" i="1"/>
  <c r="O47" i="1"/>
  <c r="O28" i="1"/>
  <c r="O26" i="1"/>
  <c r="O23" i="1"/>
  <c r="O19" i="1"/>
  <c r="O11" i="1"/>
  <c r="O9" i="1"/>
  <c r="O59" i="1"/>
  <c r="O15" i="1"/>
  <c r="O13" i="1"/>
  <c r="O17" i="1"/>
  <c r="O8" i="1"/>
  <c r="O6" i="1"/>
  <c r="R101" i="1"/>
  <c r="U101" i="1" s="1"/>
  <c r="R97" i="1"/>
  <c r="U97" i="1" s="1"/>
  <c r="R95" i="1"/>
  <c r="U95" i="1" s="1"/>
  <c r="R93" i="1"/>
  <c r="U93" i="1" s="1"/>
  <c r="R91" i="1"/>
  <c r="U91" i="1" s="1"/>
  <c r="R89" i="1"/>
  <c r="U89" i="1" s="1"/>
  <c r="R87" i="1"/>
  <c r="U87" i="1" s="1"/>
  <c r="R85" i="1"/>
  <c r="U85" i="1" s="1"/>
  <c r="R83" i="1"/>
  <c r="U83" i="1" s="1"/>
  <c r="R81" i="1"/>
  <c r="U81" i="1" s="1"/>
  <c r="R79" i="1"/>
  <c r="U79" i="1" s="1"/>
  <c r="R77" i="1"/>
  <c r="U77" i="1" s="1"/>
  <c r="R75" i="1"/>
  <c r="U75" i="1" s="1"/>
  <c r="R21" i="1"/>
  <c r="S21" i="1"/>
  <c r="T21" i="1"/>
  <c r="J6" i="48"/>
  <c r="J3" i="48"/>
  <c r="J5" i="48"/>
  <c r="J2" i="48"/>
  <c r="K6" i="48"/>
  <c r="M6" i="48" s="1"/>
  <c r="K4" i="48"/>
  <c r="M4" i="48" s="1"/>
  <c r="K5" i="48"/>
  <c r="M5" i="48" s="1"/>
  <c r="K3" i="48"/>
  <c r="M3" i="48" s="1"/>
  <c r="L2" i="48"/>
  <c r="M2" i="48" s="1"/>
  <c r="O32" i="1"/>
  <c r="O31" i="1"/>
  <c r="H10" i="2"/>
  <c r="H21" i="2"/>
  <c r="H61" i="2"/>
  <c r="H108" i="2"/>
  <c r="H84" i="2"/>
  <c r="H109" i="2"/>
  <c r="H23" i="2"/>
  <c r="H11" i="2"/>
  <c r="AO2" i="1"/>
  <c r="AO3" i="1"/>
  <c r="AO4" i="1"/>
  <c r="AO5" i="1"/>
  <c r="AO6" i="1"/>
  <c r="AO7" i="1"/>
  <c r="AO8" i="1"/>
  <c r="AO10" i="1"/>
  <c r="AO11" i="1"/>
  <c r="AO9" i="1"/>
  <c r="M9" i="48"/>
  <c r="M10" i="48"/>
  <c r="P10" i="48" s="1"/>
  <c r="M11" i="48"/>
  <c r="P11" i="48" s="1"/>
  <c r="M12" i="48"/>
  <c r="P12" i="48" s="1"/>
  <c r="G11" i="136" l="1"/>
  <c r="R16" i="1"/>
  <c r="R40" i="1"/>
  <c r="S40" i="1"/>
  <c r="R72" i="1"/>
  <c r="R4" i="1"/>
  <c r="T24" i="1"/>
  <c r="R73" i="1"/>
  <c r="R50" i="1"/>
  <c r="R24" i="1"/>
  <c r="G10" i="136"/>
  <c r="H11" i="136"/>
  <c r="R62" i="1"/>
  <c r="R52" i="1"/>
  <c r="T16" i="1"/>
  <c r="S16" i="1"/>
  <c r="T52" i="1"/>
  <c r="S52" i="1"/>
  <c r="S50" i="1"/>
  <c r="T50" i="1"/>
  <c r="T62" i="1"/>
  <c r="S62" i="1"/>
  <c r="T42" i="1"/>
  <c r="R42" i="1"/>
  <c r="U42" i="1" s="1"/>
  <c r="R39" i="1"/>
  <c r="R53" i="1"/>
  <c r="F31" i="120"/>
  <c r="H19" i="120"/>
  <c r="H18" i="120"/>
  <c r="G16" i="120"/>
  <c r="H13" i="120"/>
  <c r="H12" i="120"/>
  <c r="H10" i="120"/>
  <c r="R51" i="1"/>
  <c r="R66" i="1"/>
  <c r="G11" i="120"/>
  <c r="G12" i="120"/>
  <c r="G13" i="120"/>
  <c r="H17" i="120"/>
  <c r="R34" i="1"/>
  <c r="G17" i="120"/>
  <c r="G14" i="120"/>
  <c r="G15" i="120"/>
  <c r="G10" i="120"/>
  <c r="G19" i="120"/>
  <c r="G18" i="120"/>
  <c r="T35" i="1"/>
  <c r="R35" i="1"/>
  <c r="H16" i="120"/>
  <c r="T34" i="1"/>
  <c r="H11" i="120"/>
  <c r="H14" i="120"/>
  <c r="H15" i="120"/>
  <c r="T32" i="1"/>
  <c r="R48" i="1"/>
  <c r="T66" i="1"/>
  <c r="S66" i="1"/>
  <c r="F6" i="57"/>
  <c r="G7" i="57"/>
  <c r="R38" i="1"/>
  <c r="P2" i="48"/>
  <c r="O9" i="48"/>
  <c r="N9" i="48"/>
  <c r="N7" i="48"/>
  <c r="G6" i="57"/>
  <c r="F4" i="57"/>
  <c r="F3" i="57"/>
  <c r="F7" i="57"/>
  <c r="M7" i="48"/>
  <c r="L6" i="52"/>
  <c r="T5" i="52"/>
  <c r="R5" i="52"/>
  <c r="P5" i="52"/>
  <c r="N5" i="52"/>
  <c r="U5" i="52"/>
  <c r="S5" i="52"/>
  <c r="Q5" i="52"/>
  <c r="O5" i="52"/>
  <c r="M5" i="52"/>
  <c r="N8" i="48"/>
  <c r="O8" i="48"/>
  <c r="N3" i="48"/>
  <c r="O3" i="48"/>
  <c r="N4" i="48"/>
  <c r="O4" i="48"/>
  <c r="N5" i="48"/>
  <c r="O5" i="48"/>
  <c r="N6" i="48"/>
  <c r="O6" i="48"/>
  <c r="N5" i="1"/>
  <c r="R6" i="1"/>
  <c r="T6" i="1"/>
  <c r="S6" i="1"/>
  <c r="R8" i="1"/>
  <c r="T8" i="1"/>
  <c r="S8" i="1"/>
  <c r="R17" i="1"/>
  <c r="T17" i="1"/>
  <c r="S17" i="1"/>
  <c r="R13" i="1"/>
  <c r="T13" i="1"/>
  <c r="S13" i="1"/>
  <c r="R15" i="1"/>
  <c r="T15" i="1"/>
  <c r="S15" i="1"/>
  <c r="R59" i="1"/>
  <c r="T59" i="1"/>
  <c r="S59" i="1"/>
  <c r="R9" i="1"/>
  <c r="T9" i="1"/>
  <c r="S9" i="1"/>
  <c r="R11" i="1"/>
  <c r="T11" i="1"/>
  <c r="S11" i="1"/>
  <c r="R19" i="1"/>
  <c r="T19" i="1"/>
  <c r="S19" i="1"/>
  <c r="R23" i="1"/>
  <c r="T23" i="1"/>
  <c r="S23" i="1"/>
  <c r="R26" i="1"/>
  <c r="T26" i="1"/>
  <c r="S26" i="1"/>
  <c r="R28" i="1"/>
  <c r="T28" i="1"/>
  <c r="S28" i="1"/>
  <c r="R47" i="1"/>
  <c r="T47" i="1"/>
  <c r="S47" i="1"/>
  <c r="R33" i="1"/>
  <c r="T33" i="1"/>
  <c r="S33" i="1"/>
  <c r="R36" i="1"/>
  <c r="T36" i="1"/>
  <c r="S36" i="1"/>
  <c r="T38" i="1"/>
  <c r="S38" i="1"/>
  <c r="R41" i="1"/>
  <c r="T41" i="1"/>
  <c r="S41" i="1"/>
  <c r="R44" i="1"/>
  <c r="T44" i="1"/>
  <c r="S44" i="1"/>
  <c r="T48" i="1"/>
  <c r="S48" i="1"/>
  <c r="T51" i="1"/>
  <c r="S51" i="1"/>
  <c r="R55" i="1"/>
  <c r="T55" i="1"/>
  <c r="S55" i="1"/>
  <c r="R65" i="1"/>
  <c r="T65" i="1"/>
  <c r="S65" i="1"/>
  <c r="R58" i="1"/>
  <c r="T58" i="1"/>
  <c r="S58" i="1"/>
  <c r="R63" i="1"/>
  <c r="T63" i="1"/>
  <c r="S63" i="1"/>
  <c r="T72" i="1"/>
  <c r="S72" i="1"/>
  <c r="R69" i="1"/>
  <c r="T69" i="1"/>
  <c r="S69" i="1"/>
  <c r="R71" i="1"/>
  <c r="T71" i="1"/>
  <c r="S71" i="1"/>
  <c r="T73" i="1"/>
  <c r="S73" i="1"/>
  <c r="R43" i="1"/>
  <c r="T43" i="1"/>
  <c r="S43" i="1"/>
  <c r="R45" i="1"/>
  <c r="T45" i="1"/>
  <c r="S45" i="1"/>
  <c r="R49" i="1"/>
  <c r="T49" i="1"/>
  <c r="S49" i="1"/>
  <c r="T53" i="1"/>
  <c r="S53" i="1"/>
  <c r="R56" i="1"/>
  <c r="T56" i="1"/>
  <c r="S56" i="1"/>
  <c r="R57" i="1"/>
  <c r="T57" i="1"/>
  <c r="S57" i="1"/>
  <c r="R61" i="1"/>
  <c r="T61" i="1"/>
  <c r="S61" i="1"/>
  <c r="R64" i="1"/>
  <c r="T64" i="1"/>
  <c r="S64" i="1"/>
  <c r="R67" i="1"/>
  <c r="T67" i="1"/>
  <c r="S67" i="1"/>
  <c r="R68" i="1"/>
  <c r="T68" i="1"/>
  <c r="S68" i="1"/>
  <c r="U21" i="1"/>
  <c r="S4" i="1"/>
  <c r="R46" i="1"/>
  <c r="T46" i="1"/>
  <c r="S46" i="1"/>
  <c r="R12" i="1"/>
  <c r="T12" i="1"/>
  <c r="S12" i="1"/>
  <c r="R14" i="1"/>
  <c r="T14" i="1"/>
  <c r="S14" i="1"/>
  <c r="R54" i="1"/>
  <c r="T54" i="1"/>
  <c r="S54" i="1"/>
  <c r="R60" i="1"/>
  <c r="T60" i="1"/>
  <c r="S60" i="1"/>
  <c r="R10" i="1"/>
  <c r="T10" i="1"/>
  <c r="S10" i="1"/>
  <c r="R18" i="1"/>
  <c r="T18" i="1"/>
  <c r="S18" i="1"/>
  <c r="R20" i="1"/>
  <c r="T20" i="1"/>
  <c r="S20" i="1"/>
  <c r="R22" i="1"/>
  <c r="T22" i="1"/>
  <c r="S22" i="1"/>
  <c r="R27" i="1"/>
  <c r="T27" i="1"/>
  <c r="S27" i="1"/>
  <c r="R29" i="1"/>
  <c r="T29" i="1"/>
  <c r="S29" i="1"/>
  <c r="R30" i="1"/>
  <c r="T30" i="1"/>
  <c r="S30" i="1"/>
  <c r="R37" i="1"/>
  <c r="T37" i="1"/>
  <c r="S37" i="1"/>
  <c r="T39" i="1"/>
  <c r="S39" i="1"/>
  <c r="H123" i="2"/>
  <c r="H5" i="2"/>
  <c r="H116" i="2"/>
  <c r="H14" i="2"/>
  <c r="H117" i="2"/>
  <c r="H27" i="2"/>
  <c r="H28" i="2"/>
  <c r="H33" i="2"/>
  <c r="H22" i="2"/>
  <c r="H6" i="2"/>
  <c r="H43" i="2"/>
  <c r="H16" i="2"/>
  <c r="H44" i="2"/>
  <c r="H2" i="2"/>
  <c r="H50" i="2"/>
  <c r="H32" i="2"/>
  <c r="H70" i="2"/>
  <c r="H64" i="2"/>
  <c r="H46" i="2"/>
  <c r="H7" i="2"/>
  <c r="H17" i="2"/>
  <c r="H100" i="2"/>
  <c r="H74" i="2"/>
  <c r="H76" i="2"/>
  <c r="H56" i="2"/>
  <c r="H78" i="2"/>
  <c r="H94" i="2"/>
  <c r="H95" i="2"/>
  <c r="H82" i="2"/>
  <c r="H99" i="2"/>
  <c r="H102" i="2"/>
  <c r="H106" i="2"/>
  <c r="H47" i="2"/>
  <c r="H30" i="2"/>
  <c r="H57" i="2"/>
  <c r="H59" i="2"/>
  <c r="H3" i="2"/>
  <c r="H60" i="2"/>
  <c r="H24" i="2"/>
  <c r="H107" i="2"/>
  <c r="H101" i="2"/>
  <c r="H93" i="2"/>
  <c r="H45" i="2"/>
  <c r="H19" i="2"/>
  <c r="H96" i="2"/>
  <c r="H29" i="2"/>
  <c r="H12" i="2"/>
  <c r="H69" i="2"/>
  <c r="H73" i="2"/>
  <c r="H86" i="2"/>
  <c r="H121" i="2"/>
  <c r="H97" i="2"/>
  <c r="H40" i="2"/>
  <c r="H55" i="2"/>
  <c r="H48" i="2"/>
  <c r="H66" i="2"/>
  <c r="H92" i="2"/>
  <c r="H72" i="2"/>
  <c r="H114" i="2"/>
  <c r="H8" i="2"/>
  <c r="H63" i="2"/>
  <c r="H118" i="2"/>
  <c r="H25" i="2"/>
  <c r="H34" i="2"/>
  <c r="H35" i="2"/>
  <c r="H36" i="2"/>
  <c r="H15" i="2"/>
  <c r="H98" i="2"/>
  <c r="H39" i="2"/>
  <c r="H80" i="2"/>
  <c r="H13" i="2"/>
  <c r="G31" i="136" l="1"/>
  <c r="U40" i="1"/>
  <c r="U24" i="1"/>
  <c r="U62" i="1"/>
  <c r="U16" i="1"/>
  <c r="P5" i="1"/>
  <c r="Q5" i="1"/>
  <c r="U52" i="1"/>
  <c r="J40" i="120"/>
  <c r="K40" i="120" s="1"/>
  <c r="U50" i="1"/>
  <c r="U35" i="1"/>
  <c r="U34" i="1"/>
  <c r="J41" i="120"/>
  <c r="K41" i="120" s="1"/>
  <c r="J38" i="120"/>
  <c r="K38" i="120" s="1"/>
  <c r="J36" i="120"/>
  <c r="K36" i="120" s="1"/>
  <c r="U66" i="1"/>
  <c r="R31" i="1"/>
  <c r="H31" i="120"/>
  <c r="G31" i="120"/>
  <c r="I11" i="120"/>
  <c r="P7" i="48"/>
  <c r="O5" i="1"/>
  <c r="P9" i="48"/>
  <c r="R32" i="1"/>
  <c r="S32" i="1"/>
  <c r="T31" i="1"/>
  <c r="S31" i="1"/>
  <c r="P3" i="48"/>
  <c r="P6" i="48"/>
  <c r="P5" i="48"/>
  <c r="L7" i="52"/>
  <c r="T6" i="52"/>
  <c r="R6" i="52"/>
  <c r="P6" i="52"/>
  <c r="N6" i="52"/>
  <c r="U6" i="52"/>
  <c r="S6" i="52"/>
  <c r="Q6" i="52"/>
  <c r="O6" i="52"/>
  <c r="M6" i="52"/>
  <c r="P8" i="48"/>
  <c r="P4" i="48"/>
  <c r="U53" i="1"/>
  <c r="U51" i="1"/>
  <c r="U39" i="1"/>
  <c r="U73" i="1"/>
  <c r="U72" i="1"/>
  <c r="U48" i="1"/>
  <c r="U38" i="1"/>
  <c r="U37" i="1"/>
  <c r="U30" i="1"/>
  <c r="U27" i="1"/>
  <c r="U20" i="1"/>
  <c r="U10" i="1"/>
  <c r="U54" i="1"/>
  <c r="U12" i="1"/>
  <c r="U4" i="1"/>
  <c r="U68" i="1"/>
  <c r="U64" i="1"/>
  <c r="U57" i="1"/>
  <c r="U45" i="1"/>
  <c r="U69" i="1"/>
  <c r="U63" i="1"/>
  <c r="U65" i="1"/>
  <c r="U44" i="1"/>
  <c r="U33" i="1"/>
  <c r="U47" i="1"/>
  <c r="U26" i="1"/>
  <c r="U19" i="1"/>
  <c r="U9" i="1"/>
  <c r="U15" i="1"/>
  <c r="U17" i="1"/>
  <c r="U6" i="1"/>
  <c r="U29" i="1"/>
  <c r="U22" i="1"/>
  <c r="U18" i="1"/>
  <c r="U60" i="1"/>
  <c r="U14" i="1"/>
  <c r="U46" i="1"/>
  <c r="U67" i="1"/>
  <c r="U61" i="1"/>
  <c r="U56" i="1"/>
  <c r="U49" i="1"/>
  <c r="U43" i="1"/>
  <c r="U71" i="1"/>
  <c r="U58" i="1"/>
  <c r="U55" i="1"/>
  <c r="U41" i="1"/>
  <c r="U36" i="1"/>
  <c r="U28" i="1"/>
  <c r="U23" i="1"/>
  <c r="U11" i="1"/>
  <c r="U59" i="1"/>
  <c r="U13" i="1"/>
  <c r="U8" i="1"/>
  <c r="H10" i="136" l="1"/>
  <c r="H31" i="136" s="1"/>
  <c r="E64" i="136" s="1"/>
  <c r="K64" i="136" s="1"/>
  <c r="I10" i="136"/>
  <c r="I12" i="120"/>
  <c r="I13" i="120"/>
  <c r="I11" i="136"/>
  <c r="J11" i="136"/>
  <c r="K61" i="120"/>
  <c r="E64" i="120" s="1"/>
  <c r="K64" i="120" s="1"/>
  <c r="K73" i="120" s="1"/>
  <c r="J18" i="120"/>
  <c r="J19" i="120"/>
  <c r="H6" i="57"/>
  <c r="J12" i="120"/>
  <c r="J13" i="120"/>
  <c r="J10" i="120"/>
  <c r="I16" i="120"/>
  <c r="J16" i="120"/>
  <c r="J17" i="120"/>
  <c r="J11" i="120"/>
  <c r="K11" i="120" s="1"/>
  <c r="I18" i="120"/>
  <c r="I14" i="120"/>
  <c r="I19" i="120"/>
  <c r="I15" i="120"/>
  <c r="I17" i="120"/>
  <c r="I10" i="120"/>
  <c r="J14" i="120"/>
  <c r="J15" i="120"/>
  <c r="U32" i="1"/>
  <c r="G3" i="57"/>
  <c r="G4" i="57"/>
  <c r="H4" i="57"/>
  <c r="H3" i="57"/>
  <c r="U31" i="1"/>
  <c r="I6" i="57"/>
  <c r="I7" i="57"/>
  <c r="H7" i="57"/>
  <c r="L8" i="52"/>
  <c r="T7" i="52"/>
  <c r="R7" i="52"/>
  <c r="P7" i="52"/>
  <c r="N7" i="52"/>
  <c r="U7" i="52"/>
  <c r="S7" i="52"/>
  <c r="Q7" i="52"/>
  <c r="O7" i="52"/>
  <c r="M7" i="52"/>
  <c r="R5" i="1"/>
  <c r="T5" i="1"/>
  <c r="S5" i="1"/>
  <c r="K13" i="120" l="1"/>
  <c r="I31" i="136"/>
  <c r="K11" i="136"/>
  <c r="K12" i="120"/>
  <c r="J6" i="57"/>
  <c r="K18" i="120"/>
  <c r="K19" i="120"/>
  <c r="J31" i="120"/>
  <c r="K16" i="120"/>
  <c r="K14" i="120"/>
  <c r="K17" i="120"/>
  <c r="K15" i="120"/>
  <c r="I31" i="120"/>
  <c r="K10" i="120"/>
  <c r="J7" i="57"/>
  <c r="L9" i="52"/>
  <c r="T8" i="52"/>
  <c r="R8" i="52"/>
  <c r="P8" i="52"/>
  <c r="N8" i="52"/>
  <c r="U8" i="52"/>
  <c r="S8" i="52"/>
  <c r="Q8" i="52"/>
  <c r="O8" i="52"/>
  <c r="M8" i="52"/>
  <c r="U5" i="1"/>
  <c r="J10" i="136" l="1"/>
  <c r="K10" i="136" s="1"/>
  <c r="K31" i="136" s="1"/>
  <c r="K63" i="136" s="1"/>
  <c r="K65" i="136" s="1"/>
  <c r="K70" i="136" s="1"/>
  <c r="K31" i="120"/>
  <c r="K63" i="120" s="1"/>
  <c r="K65" i="120" s="1"/>
  <c r="K70" i="120" s="1"/>
  <c r="K72" i="120" s="1"/>
  <c r="I4" i="57"/>
  <c r="J4" i="57" s="1"/>
  <c r="I3" i="57"/>
  <c r="J3" i="57" s="1"/>
  <c r="L10" i="52"/>
  <c r="T9" i="52"/>
  <c r="R9" i="52"/>
  <c r="P9" i="52"/>
  <c r="N9" i="52"/>
  <c r="U9" i="52"/>
  <c r="S9" i="52"/>
  <c r="Q9" i="52"/>
  <c r="O9" i="52"/>
  <c r="M9" i="52"/>
  <c r="J31" i="136" l="1"/>
  <c r="L11" i="52"/>
  <c r="T10" i="52"/>
  <c r="R10" i="52"/>
  <c r="P10" i="52"/>
  <c r="N10" i="52"/>
  <c r="U10" i="52"/>
  <c r="S10" i="52"/>
  <c r="Q10" i="52"/>
  <c r="O10" i="52"/>
  <c r="M10" i="52"/>
  <c r="L12" i="52" l="1"/>
  <c r="T11" i="52"/>
  <c r="R11" i="52"/>
  <c r="P11" i="52"/>
  <c r="N11" i="52"/>
  <c r="U11" i="52"/>
  <c r="S11" i="52"/>
  <c r="Q11" i="52"/>
  <c r="O11" i="52"/>
  <c r="M11" i="52"/>
  <c r="L13" i="52" l="1"/>
  <c r="T12" i="52"/>
  <c r="R12" i="52"/>
  <c r="P12" i="52"/>
  <c r="N12" i="52"/>
  <c r="U12" i="52"/>
  <c r="S12" i="52"/>
  <c r="Q12" i="52"/>
  <c r="O12" i="52"/>
  <c r="M12" i="52"/>
  <c r="L14" i="52" l="1"/>
  <c r="T13" i="52"/>
  <c r="R13" i="52"/>
  <c r="P13" i="52"/>
  <c r="N13" i="52"/>
  <c r="U13" i="52"/>
  <c r="S13" i="52"/>
  <c r="Q13" i="52"/>
  <c r="O13" i="52"/>
  <c r="M13" i="52"/>
  <c r="L15" i="52" l="1"/>
  <c r="T14" i="52"/>
  <c r="R14" i="52"/>
  <c r="P14" i="52"/>
  <c r="N14" i="52"/>
  <c r="U14" i="52"/>
  <c r="S14" i="52"/>
  <c r="Q14" i="52"/>
  <c r="O14" i="52"/>
  <c r="M14" i="52"/>
  <c r="L16" i="52" l="1"/>
  <c r="T15" i="52"/>
  <c r="R15" i="52"/>
  <c r="P15" i="52"/>
  <c r="N15" i="52"/>
  <c r="U15" i="52"/>
  <c r="S15" i="52"/>
  <c r="Q15" i="52"/>
  <c r="O15" i="52"/>
  <c r="M15" i="52"/>
  <c r="L17" i="52" l="1"/>
  <c r="T16" i="52"/>
  <c r="R16" i="52"/>
  <c r="P16" i="52"/>
  <c r="N16" i="52"/>
  <c r="U16" i="52"/>
  <c r="S16" i="52"/>
  <c r="Q16" i="52"/>
  <c r="O16" i="52"/>
  <c r="M16" i="52"/>
  <c r="L18" i="52" l="1"/>
  <c r="T17" i="52"/>
  <c r="R17" i="52"/>
  <c r="P17" i="52"/>
  <c r="N17" i="52"/>
  <c r="U17" i="52"/>
  <c r="S17" i="52"/>
  <c r="Q17" i="52"/>
  <c r="O17" i="52"/>
  <c r="M17" i="52"/>
  <c r="L19" i="52" l="1"/>
  <c r="T18" i="52"/>
  <c r="R18" i="52"/>
  <c r="P18" i="52"/>
  <c r="N18" i="52"/>
  <c r="U18" i="52"/>
  <c r="S18" i="52"/>
  <c r="Q18" i="52"/>
  <c r="O18" i="52"/>
  <c r="M18" i="52"/>
  <c r="L20" i="52" l="1"/>
  <c r="T19" i="52"/>
  <c r="R19" i="52"/>
  <c r="P19" i="52"/>
  <c r="N19" i="52"/>
  <c r="U19" i="52"/>
  <c r="S19" i="52"/>
  <c r="Q19" i="52"/>
  <c r="O19" i="52"/>
  <c r="M19" i="52"/>
  <c r="L21" i="52" l="1"/>
  <c r="T20" i="52"/>
  <c r="R20" i="52"/>
  <c r="P20" i="52"/>
  <c r="N20" i="52"/>
  <c r="U20" i="52"/>
  <c r="S20" i="52"/>
  <c r="Q20" i="52"/>
  <c r="O20" i="52"/>
  <c r="M20" i="52"/>
  <c r="T21" i="52" l="1"/>
  <c r="R21" i="52"/>
  <c r="P21" i="52"/>
  <c r="N21" i="52"/>
  <c r="U21" i="52"/>
  <c r="S21" i="52"/>
  <c r="Q21" i="52"/>
  <c r="O21" i="52"/>
  <c r="M21" i="52"/>
</calcChain>
</file>

<file path=xl/comments1.xml><?xml version="1.0" encoding="utf-8"?>
<comments xmlns="http://schemas.openxmlformats.org/spreadsheetml/2006/main">
  <authors>
    <author>Roger Wilson</author>
  </authors>
  <commentList>
    <comment ref="D4" authorId="0" shape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49" authorId="0" shapeId="0">
      <text>
        <r>
          <rPr>
            <b/>
            <sz val="8"/>
            <color indexed="81"/>
            <rFont val="Tahoma"/>
            <family val="2"/>
          </rPr>
          <t>Roger Wilson:</t>
        </r>
        <r>
          <rPr>
            <sz val="8"/>
            <color indexed="81"/>
            <rFont val="Tahoma"/>
            <family val="2"/>
          </rPr>
          <t xml:space="preserve">
Original $101,955
</t>
        </r>
      </text>
    </comment>
    <comment ref="E50" authorId="0" shapeId="0">
      <text>
        <r>
          <rPr>
            <b/>
            <sz val="8"/>
            <color indexed="81"/>
            <rFont val="Tahoma"/>
            <family val="2"/>
          </rPr>
          <t>Roger Wilson:</t>
        </r>
        <r>
          <rPr>
            <sz val="8"/>
            <color indexed="81"/>
            <rFont val="Tahoma"/>
            <family val="2"/>
          </rPr>
          <t xml:space="preserve">
Original $101,955
</t>
        </r>
      </text>
    </comment>
    <comment ref="E57" authorId="0" shapeId="0">
      <text>
        <r>
          <rPr>
            <b/>
            <sz val="8"/>
            <color indexed="81"/>
            <rFont val="Tahoma"/>
            <family val="2"/>
          </rPr>
          <t>Roger Wilson:</t>
        </r>
        <r>
          <rPr>
            <sz val="8"/>
            <color indexed="81"/>
            <rFont val="Tahoma"/>
            <family val="2"/>
          </rPr>
          <t xml:space="preserve">
List from Web 20,553</t>
        </r>
      </text>
    </comment>
    <comment ref="E60" authorId="0" shapeId="0">
      <text>
        <r>
          <rPr>
            <b/>
            <sz val="8"/>
            <color indexed="81"/>
            <rFont val="Tahoma"/>
            <family val="2"/>
          </rPr>
          <t>Roger Wilson:</t>
        </r>
        <r>
          <rPr>
            <sz val="8"/>
            <color indexed="81"/>
            <rFont val="Tahoma"/>
            <family val="2"/>
          </rPr>
          <t xml:space="preserve">
List from Web 20,553</t>
        </r>
      </text>
    </comment>
  </commentList>
</comments>
</file>

<file path=xl/sharedStrings.xml><?xml version="1.0" encoding="utf-8"?>
<sst xmlns="http://schemas.openxmlformats.org/spreadsheetml/2006/main" count="1644" uniqueCount="616">
  <si>
    <t>Op Name</t>
  </si>
  <si>
    <t>Times or Qty</t>
  </si>
  <si>
    <t>Total</t>
  </si>
  <si>
    <t>Custom</t>
  </si>
  <si>
    <t>Material</t>
  </si>
  <si>
    <t>Category</t>
  </si>
  <si>
    <t>10-34-0</t>
  </si>
  <si>
    <t>Fertilizer</t>
  </si>
  <si>
    <t>10-34-0-1Z</t>
  </si>
  <si>
    <t>11-52-0</t>
  </si>
  <si>
    <t>2,4-D Amine</t>
  </si>
  <si>
    <t>Herbicide</t>
  </si>
  <si>
    <t>2,4-D Ester 4#</t>
  </si>
  <si>
    <t>28-0-0</t>
  </si>
  <si>
    <t>46-0-0</t>
  </si>
  <si>
    <t>82-0-0</t>
  </si>
  <si>
    <t>AAtrex 4L</t>
  </si>
  <si>
    <t>Aerial Spray</t>
  </si>
  <si>
    <t>Alfalfa w/Inoculant</t>
  </si>
  <si>
    <t>Seed</t>
  </si>
  <si>
    <t>Bicep II Magnum</t>
  </si>
  <si>
    <t>Insecticide</t>
  </si>
  <si>
    <t>Chop, Haul, Pack</t>
  </si>
  <si>
    <t>Corn</t>
  </si>
  <si>
    <t>Corn Bt ECB</t>
  </si>
  <si>
    <t>Corn Bt ECB&amp;RW</t>
  </si>
  <si>
    <t>Crop Oil Concentrate</t>
  </si>
  <si>
    <t>Dicamba</t>
  </si>
  <si>
    <t>Edible Beans</t>
  </si>
  <si>
    <t>Other</t>
  </si>
  <si>
    <t>Expert</t>
  </si>
  <si>
    <t>Fence/water repairs</t>
  </si>
  <si>
    <t>Glyphosate w/Surf</t>
  </si>
  <si>
    <t>Grass Drill</t>
  </si>
  <si>
    <t>Rental</t>
  </si>
  <si>
    <t>Grass Seed</t>
  </si>
  <si>
    <t>Haul &amp; Apply Manure</t>
  </si>
  <si>
    <t>Haul Beets</t>
  </si>
  <si>
    <t>Haul Grain bu</t>
  </si>
  <si>
    <t>Fungicide</t>
  </si>
  <si>
    <t>Landmaster BW</t>
  </si>
  <si>
    <t>Lorsban 15 G</t>
  </si>
  <si>
    <t>Lorsban 4 E</t>
  </si>
  <si>
    <t>Millet</t>
  </si>
  <si>
    <t>Move Cattle</t>
  </si>
  <si>
    <t>NIS</t>
  </si>
  <si>
    <t>Oats</t>
  </si>
  <si>
    <t>Peak</t>
  </si>
  <si>
    <t xml:space="preserve">Pursuit </t>
  </si>
  <si>
    <t>Regent 4 SC</t>
  </si>
  <si>
    <t>RR Soybeans</t>
  </si>
  <si>
    <t>Seeder-Packer</t>
  </si>
  <si>
    <t>Select Max</t>
  </si>
  <si>
    <t>Sorghum Safened/Insect</t>
  </si>
  <si>
    <t>Sorghum Sudan</t>
  </si>
  <si>
    <t>Spirit</t>
  </si>
  <si>
    <t>Spray</t>
  </si>
  <si>
    <t>Sugar Beets RR Poncho</t>
  </si>
  <si>
    <t>Sunflower</t>
  </si>
  <si>
    <t>Tilt</t>
  </si>
  <si>
    <t>Twine Lg Rd</t>
  </si>
  <si>
    <t>Twine Lg Sq</t>
  </si>
  <si>
    <t>Twine Sm Sq</t>
  </si>
  <si>
    <t>Uncomposted manure</t>
  </si>
  <si>
    <t>ton</t>
  </si>
  <si>
    <t>Ton</t>
  </si>
  <si>
    <t>Purchase Price</t>
  </si>
  <si>
    <t>Purchase Unit</t>
  </si>
  <si>
    <t>Applied Unit</t>
  </si>
  <si>
    <t>Applied Price</t>
  </si>
  <si>
    <t>Applied Units / Purchased Units</t>
  </si>
  <si>
    <t>acre</t>
  </si>
  <si>
    <t>bale</t>
  </si>
  <si>
    <t>cwt</t>
  </si>
  <si>
    <t>lb N</t>
  </si>
  <si>
    <t>circle</t>
  </si>
  <si>
    <t>bag</t>
  </si>
  <si>
    <t>Unit</t>
  </si>
  <si>
    <t>System</t>
  </si>
  <si>
    <t>Yield</t>
  </si>
  <si>
    <t>Field Operations</t>
  </si>
  <si>
    <t>Repairs</t>
  </si>
  <si>
    <t>Power</t>
  </si>
  <si>
    <t>Total for Field Operations</t>
  </si>
  <si>
    <t>Imp.</t>
  </si>
  <si>
    <t>Water Source</t>
  </si>
  <si>
    <t>Water Applied</t>
  </si>
  <si>
    <t>Wage Rate</t>
  </si>
  <si>
    <t>Diesel Price</t>
  </si>
  <si>
    <t>Elect. Price</t>
  </si>
  <si>
    <t>/ Hr</t>
  </si>
  <si>
    <t>/ kwh</t>
  </si>
  <si>
    <t>/ gal.</t>
  </si>
  <si>
    <t>Materials &amp; Services</t>
  </si>
  <si>
    <t>Percent Acres Applied</t>
  </si>
  <si>
    <t xml:space="preserve">Total </t>
  </si>
  <si>
    <t>Total Materials &amp; Services</t>
  </si>
  <si>
    <t>Operation Index</t>
  </si>
  <si>
    <t xml:space="preserve">Application </t>
  </si>
  <si>
    <t>Rate</t>
  </si>
  <si>
    <t>Total listed costs for Field Operations and Materials &amp; Services</t>
  </si>
  <si>
    <t>Fall Establishment</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</si>
  <si>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</si>
  <si>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</si>
  <si>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</si>
  <si>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</si>
  <si>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</si>
  <si>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</si>
  <si>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</si>
  <si>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</si>
  <si>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</si>
  <si>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</si>
  <si>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</si>
  <si>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</si>
  <si>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</si>
  <si>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</si>
  <si>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</si>
  <si>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</si>
  <si>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</si>
  <si>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</si>
  <si>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</si>
  <si>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</si>
  <si>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</si>
  <si>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</si>
  <si>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</si>
  <si>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</si>
  <si>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</si>
  <si>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</si>
  <si>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</si>
  <si>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</si>
  <si>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</si>
  <si>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</si>
  <si>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</si>
  <si>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</si>
  <si>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</si>
  <si>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</si>
  <si>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</si>
  <si>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</si>
  <si>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</si>
  <si>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</si>
  <si>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</si>
  <si>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</si>
  <si>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</si>
  <si>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</si>
  <si>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</si>
  <si>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</si>
  <si>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</si>
  <si>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</si>
  <si>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</si>
  <si>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</si>
  <si>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</si>
  <si>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</si>
  <si>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</si>
  <si>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</si>
  <si>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</si>
  <si>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</si>
  <si>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</si>
  <si>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</si>
  <si>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</si>
  <si>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</si>
  <si>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</si>
  <si>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</si>
  <si>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</si>
  <si>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</si>
  <si>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</si>
  <si>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</si>
  <si>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</si>
  <si>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</si>
  <si>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</si>
  <si>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</si>
  <si>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</si>
  <si>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</si>
  <si>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</si>
  <si>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</si>
  <si>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</si>
  <si>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</si>
  <si>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</si>
  <si>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</si>
  <si>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</si>
  <si>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</si>
  <si>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</si>
  <si>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</si>
  <si>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</si>
  <si>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</si>
  <si>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</si>
  <si>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</si>
  <si>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</si>
  <si>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</si>
  <si>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</si>
  <si>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</si>
  <si>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</si>
  <si>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</si>
  <si>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</si>
  <si>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</si>
  <si>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</si>
  <si>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</si>
  <si>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</si>
  <si>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</si>
  <si>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</si>
  <si>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</si>
  <si>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</si>
  <si>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</si>
  <si>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</si>
  <si>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</si>
  <si>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</si>
  <si>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</si>
  <si>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</si>
  <si>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</si>
  <si>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</si>
  <si>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</si>
  <si>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</si>
  <si>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</si>
  <si>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</si>
  <si>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</si>
  <si>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</si>
  <si>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</si>
  <si>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</si>
  <si>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</si>
  <si>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</si>
  <si>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</si>
  <si>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</si>
  <si>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</si>
  <si>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</si>
  <si>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</si>
  <si>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</si>
  <si>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</si>
  <si>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</si>
  <si>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</si>
  <si>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</si>
  <si>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</si>
  <si>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</si>
  <si>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</si>
  <si>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</si>
  <si>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</si>
  <si>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</si>
  <si>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</si>
  <si>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</si>
  <si>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</si>
  <si>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</si>
  <si>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</si>
  <si>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</si>
  <si>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</si>
  <si>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</si>
  <si>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</si>
  <si>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</si>
  <si>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</si>
  <si>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</si>
  <si>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</si>
  <si>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</si>
  <si>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</si>
  <si>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</si>
  <si>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</si>
  <si>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</si>
  <si>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</si>
  <si>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</si>
  <si>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</si>
  <si>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</si>
  <si>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</si>
  <si>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</si>
  <si>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</si>
  <si>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</si>
  <si>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</si>
  <si>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</si>
  <si>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</si>
  <si>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</si>
  <si>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</si>
  <si>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</si>
  <si>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</si>
  <si>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</si>
  <si>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</si>
  <si>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</si>
  <si>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</si>
  <si>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</si>
  <si>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</si>
  <si>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</si>
  <si>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</si>
  <si>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</si>
  <si>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</si>
  <si>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</si>
  <si>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Irr SG</t>
  </si>
  <si>
    <t>Combine Irr Corn</t>
  </si>
  <si>
    <t>Combine Irr SB</t>
  </si>
  <si>
    <t>Combine Irr Dry Beans</t>
  </si>
  <si>
    <t>Anhydrous Apply</t>
  </si>
  <si>
    <t>Cart</t>
  </si>
  <si>
    <t>Chisel</t>
  </si>
  <si>
    <t>Chop Silage</t>
  </si>
  <si>
    <t>Chop Stalks</t>
  </si>
  <si>
    <t>Disc</t>
  </si>
  <si>
    <t>Ditch Irrigation</t>
  </si>
  <si>
    <t>Double Windrows</t>
  </si>
  <si>
    <t>Drill</t>
  </si>
  <si>
    <t>Dry Grain</t>
  </si>
  <si>
    <t>Fallow Master</t>
  </si>
  <si>
    <t>Field Cultivation</t>
  </si>
  <si>
    <t>Harrow</t>
  </si>
  <si>
    <t>Hoe</t>
  </si>
  <si>
    <t>Lg Rd Bale</t>
  </si>
  <si>
    <t>Lg Sq Bale</t>
  </si>
  <si>
    <t>Lift Beets</t>
  </si>
  <si>
    <t>Load Lg Sq</t>
  </si>
  <si>
    <t>Move Lg Rd</t>
  </si>
  <si>
    <t>No-Till Drill</t>
  </si>
  <si>
    <t>Pickett Windrowers</t>
  </si>
  <si>
    <t>Pipe D125’ Lift</t>
  </si>
  <si>
    <t>PivotD 125’Lift</t>
  </si>
  <si>
    <t>PivotE 125’Lift</t>
  </si>
  <si>
    <t>Plant</t>
  </si>
  <si>
    <t>Plant Narrow Row</t>
  </si>
  <si>
    <t>Plant No-Till</t>
  </si>
  <si>
    <t>Ridge Cultivation</t>
  </si>
  <si>
    <t>Ridge Plant</t>
  </si>
  <si>
    <t>Rod Weeder</t>
  </si>
  <si>
    <t>Roll</t>
  </si>
  <si>
    <t>Row Crop Cultivation</t>
  </si>
  <si>
    <t>Seeder/Packer</t>
  </si>
  <si>
    <t>Sm Sq Bale</t>
  </si>
  <si>
    <t>Spread manure</t>
  </si>
  <si>
    <t>Spread, Fertilizer</t>
  </si>
  <si>
    <t>Stack Sm Sq</t>
  </si>
  <si>
    <t>Subsoil</t>
  </si>
  <si>
    <t>Swath/Cond Hay</t>
  </si>
  <si>
    <t>Till Plant Beets</t>
  </si>
  <si>
    <t>Top Beets</t>
  </si>
  <si>
    <t>Truck</t>
  </si>
  <si>
    <t>Turn Windrows</t>
  </si>
  <si>
    <t>Windrow Grain</t>
  </si>
  <si>
    <t>Annual Use</t>
  </si>
  <si>
    <t>Windrower</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</si>
  <si>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</si>
  <si>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</si>
  <si>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</si>
  <si>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</si>
  <si>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</si>
  <si>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</si>
  <si>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</si>
  <si>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</si>
  <si>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</si>
  <si>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</si>
  <si>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</si>
  <si>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</si>
  <si>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</si>
  <si>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</si>
  <si>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</si>
  <si>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</si>
  <si>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</si>
  <si>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</si>
  <si>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</si>
  <si>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</si>
  <si>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</si>
  <si>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</si>
  <si>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</si>
  <si>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</si>
  <si>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</si>
  <si>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</si>
  <si>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</si>
  <si>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</si>
  <si>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</si>
  <si>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</si>
  <si>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</si>
  <si>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</si>
  <si>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</si>
  <si>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</si>
  <si>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</si>
  <si>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</si>
  <si>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</si>
  <si>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</si>
  <si>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</si>
  <si>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</si>
  <si>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</si>
  <si>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</si>
  <si>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</si>
  <si>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</si>
  <si>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</si>
  <si>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</si>
  <si>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</si>
  <si>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</si>
  <si>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</si>
  <si>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</si>
  <si>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</si>
  <si>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</si>
  <si>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</si>
  <si>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Years</t>
  </si>
  <si>
    <t>Combines</t>
  </si>
  <si>
    <t>Mowers</t>
  </si>
  <si>
    <t>Balers</t>
  </si>
  <si>
    <t>Harvest Other</t>
  </si>
  <si>
    <t>Plows</t>
  </si>
  <si>
    <t>Tillage Other</t>
  </si>
  <si>
    <t>Vehicles</t>
  </si>
  <si>
    <t>Planters</t>
  </si>
  <si>
    <t>Misc</t>
  </si>
  <si>
    <t>C1</t>
  </si>
  <si>
    <t>C2</t>
  </si>
  <si>
    <r>
      <t xml:space="preserve"> </t>
    </r>
    <r>
      <rPr>
        <sz val="12"/>
        <color indexed="63"/>
        <rFont val="Calibri"/>
        <family val="2"/>
        <scheme val="minor"/>
      </rPr>
      <t>Misc equipment</t>
    </r>
    <r>
      <rPr>
        <sz val="12"/>
        <rFont val="Calibri"/>
        <family val="2"/>
        <scheme val="minor"/>
      </rPr>
      <t xml:space="preserve"> </t>
    </r>
  </si>
  <si>
    <t/>
  </si>
  <si>
    <t xml:space="preserve">Wagon - Forage </t>
  </si>
  <si>
    <t>Spartan 4F</t>
  </si>
  <si>
    <t>Diesel Pump for Pipe</t>
  </si>
  <si>
    <t>Balance Flexx</t>
  </si>
  <si>
    <t>Your Estimate</t>
  </si>
  <si>
    <t>Interest on Opns Capital</t>
  </si>
  <si>
    <t>cash expense @</t>
  </si>
  <si>
    <t>Operations Borrowing Rate</t>
  </si>
  <si>
    <t>Operations Borrowing Time</t>
  </si>
  <si>
    <t>months</t>
  </si>
  <si>
    <t>Total Operating and Use Related Ownership Costs</t>
  </si>
  <si>
    <t>Scouting</t>
  </si>
  <si>
    <t>Crop Insurance</t>
  </si>
  <si>
    <t>Real Estate Opportunity</t>
  </si>
  <si>
    <t>per acre @</t>
  </si>
  <si>
    <t>Gravity (State)</t>
  </si>
  <si>
    <t>Gravity (Panhandle)</t>
  </si>
  <si>
    <t>Pivot (State)</t>
  </si>
  <si>
    <t>Pivot (Panhandle)</t>
  </si>
  <si>
    <t>Real Estate Values</t>
  </si>
  <si>
    <t>Description</t>
  </si>
  <si>
    <t>Value</t>
  </si>
  <si>
    <t>Real Estate Taxes</t>
  </si>
  <si>
    <t>Real Estate Tax Rate</t>
  </si>
  <si>
    <t>Haul Grain (Millet)</t>
  </si>
  <si>
    <t>Haul Grain (Sunflower)</t>
  </si>
  <si>
    <t>Haul Grain (Dry Beans)</t>
  </si>
  <si>
    <t>Total Cost per Acre Including Overhead</t>
  </si>
  <si>
    <t>Warrior II/Zeon</t>
  </si>
  <si>
    <t>16 AI</t>
  </si>
  <si>
    <t>22 AI</t>
  </si>
  <si>
    <t>85 bu</t>
  </si>
  <si>
    <t>100 bu</t>
  </si>
  <si>
    <t>9 AI</t>
  </si>
  <si>
    <t>Lube Factor</t>
  </si>
  <si>
    <t>Diesel &amp; Lube</t>
  </si>
  <si>
    <t>Anhy Apply (supplier)</t>
  </si>
  <si>
    <t xml:space="preserve">Farm tractors (80-150hp) </t>
  </si>
  <si>
    <r>
      <rPr>
        <b/>
        <sz val="10"/>
        <rFont val="Arial"/>
        <family val="2"/>
      </rPr>
      <t>Overhead</t>
    </r>
    <r>
      <rPr>
        <sz val="10"/>
        <rFont val="Arial"/>
        <family val="2"/>
      </rPr>
      <t xml:space="preserve">    (accounting, liability insurance, vehicle cost, office expense)</t>
    </r>
  </si>
  <si>
    <t>Budget . Master</t>
  </si>
  <si>
    <t>bushel</t>
  </si>
  <si>
    <t>gallon</t>
  </si>
  <si>
    <t>pound</t>
  </si>
  <si>
    <t>ounce</t>
  </si>
  <si>
    <t>pint</t>
  </si>
  <si>
    <t>quart</t>
  </si>
  <si>
    <t>hour</t>
  </si>
  <si>
    <t>acre-inch</t>
  </si>
  <si>
    <t>lbs N</t>
  </si>
  <si>
    <t>Corrugate</t>
  </si>
  <si>
    <t>32-0-0</t>
  </si>
  <si>
    <t>Basagran</t>
  </si>
  <si>
    <t>Asana XL</t>
  </si>
  <si>
    <t>Scouting Irrigated Corn</t>
  </si>
  <si>
    <t>Scouting Irrigated SB</t>
  </si>
  <si>
    <t>Scouting Drybeans</t>
  </si>
  <si>
    <t>Scouting Sugar Beets</t>
  </si>
  <si>
    <t>Scouting Grain Sorghum</t>
  </si>
  <si>
    <t>Scouting Wheat</t>
  </si>
  <si>
    <t>Overhead Cost per Acre</t>
  </si>
  <si>
    <t>none</t>
  </si>
  <si>
    <t>ai</t>
  </si>
  <si>
    <t>Acre</t>
  </si>
  <si>
    <t>Raptor</t>
  </si>
  <si>
    <t>Outlook</t>
  </si>
  <si>
    <t>Prowl H2O</t>
  </si>
  <si>
    <t>Copper</t>
  </si>
  <si>
    <t>Mustang Max EC</t>
  </si>
  <si>
    <t>Brigade 2EC</t>
  </si>
  <si>
    <t>Index</t>
  </si>
  <si>
    <t>/ Gal.</t>
  </si>
  <si>
    <t>Large Tractor</t>
  </si>
  <si>
    <t>Medium Tractor</t>
  </si>
  <si>
    <t xml:space="preserve">Forage harvester(SP) </t>
  </si>
  <si>
    <t>Aim 2EC</t>
  </si>
  <si>
    <t>Dryland</t>
  </si>
  <si>
    <t>Dryland (State)</t>
  </si>
  <si>
    <t>Scouting Dryland Corn</t>
  </si>
  <si>
    <t>Combine Dryland Corn</t>
  </si>
  <si>
    <t>Dryland (Southwest)</t>
  </si>
  <si>
    <t>Combine Dryland SG</t>
  </si>
  <si>
    <t>Scouting Dryland Soybeans</t>
  </si>
  <si>
    <t>Combine Dryland SB</t>
  </si>
  <si>
    <t>Dryland (Panhandle)</t>
  </si>
  <si>
    <t>The following individuals contributed to these budgets in their specialty area</t>
  </si>
  <si>
    <t>Robert Wright</t>
  </si>
  <si>
    <t>rwright@unl.edu</t>
  </si>
  <si>
    <t>tjackson3@unl.edu</t>
  </si>
  <si>
    <t>Tamra Jackson</t>
  </si>
  <si>
    <t>Loren Giesler</t>
  </si>
  <si>
    <t>lgiesler@unl.edu</t>
  </si>
  <si>
    <t>swegulo2@unl.edu</t>
  </si>
  <si>
    <t>Research and Extension Entomologist</t>
  </si>
  <si>
    <t>Ally Extra SGW/TOTSOL</t>
  </si>
  <si>
    <t>Authority First DF</t>
  </si>
  <si>
    <t>Lumax EZ</t>
  </si>
  <si>
    <t>kw</t>
  </si>
  <si>
    <t>Electricity Usage</t>
  </si>
  <si>
    <t>RR2 Soybeans</t>
  </si>
  <si>
    <t>Distinct</t>
  </si>
  <si>
    <t xml:space="preserve">21-0-0-24S   </t>
  </si>
  <si>
    <t>Status</t>
  </si>
  <si>
    <t>Laudis</t>
  </si>
  <si>
    <t>Rugged</t>
  </si>
  <si>
    <t>Headline AMP</t>
  </si>
  <si>
    <t>Valor XLT</t>
  </si>
  <si>
    <t>Crop</t>
  </si>
  <si>
    <t>Corn Irrigated</t>
  </si>
  <si>
    <t>Corn Dryland</t>
  </si>
  <si>
    <t>Soybeans Irrigated</t>
  </si>
  <si>
    <t>Soybeans Dryland</t>
  </si>
  <si>
    <t>Drybeans</t>
  </si>
  <si>
    <t>Sugar Beets</t>
  </si>
  <si>
    <t>Wheat Fallowed</t>
  </si>
  <si>
    <t>Wheat Irrigated</t>
  </si>
  <si>
    <t>Grain Sorghum Dryland</t>
  </si>
  <si>
    <t>Grain Sorghum Irrigated</t>
  </si>
  <si>
    <t>Premiium</t>
  </si>
  <si>
    <t>Wheat After Crop</t>
  </si>
  <si>
    <t xml:space="preserve">Wagon </t>
  </si>
  <si>
    <t>Budget</t>
  </si>
  <si>
    <t>County</t>
  </si>
  <si>
    <t>N/A</t>
  </si>
  <si>
    <t>Buffalo</t>
  </si>
  <si>
    <t>Cheyenne</t>
  </si>
  <si>
    <t>Jefferson</t>
  </si>
  <si>
    <t>Burt</t>
  </si>
  <si>
    <t>Box Butte</t>
  </si>
  <si>
    <t>Perkins</t>
  </si>
  <si>
    <t>Keith</t>
  </si>
  <si>
    <t>Electricity Fixed</t>
  </si>
  <si>
    <t>Quadris</t>
  </si>
  <si>
    <t>Additive</t>
  </si>
  <si>
    <t>Load Large Square Bales</t>
  </si>
  <si>
    <t>Drill w/ Fertillizer</t>
  </si>
  <si>
    <t>Alfalfa RR w/ Inoculant</t>
  </si>
  <si>
    <t>Roundup WeatherMax</t>
  </si>
  <si>
    <t>Establish spring seed</t>
  </si>
  <si>
    <t>Corn Bt, ECB, RW &amp; RR2</t>
  </si>
  <si>
    <t>Corn RR2</t>
  </si>
  <si>
    <t>Capture LFR</t>
  </si>
  <si>
    <t>Atrazine 90 DF</t>
  </si>
  <si>
    <t>32-0-0 (Applied by R2)</t>
  </si>
  <si>
    <t>Stratego YLD</t>
  </si>
  <si>
    <t>Huskie</t>
  </si>
  <si>
    <t>Priaxor</t>
  </si>
  <si>
    <t xml:space="preserve">Corn SmartStax RIB Complete </t>
  </si>
  <si>
    <t>Quilt Xcel</t>
  </si>
  <si>
    <t>Wheat (certified and treated)</t>
  </si>
  <si>
    <t>PivotD 125’Lift w/fertigation</t>
  </si>
  <si>
    <t>Budget 5. Alfalfa Roundup Ready</t>
  </si>
  <si>
    <t>Irrigation District O&amp;M Charge</t>
  </si>
  <si>
    <t>Plow</t>
  </si>
  <si>
    <t>Roller Harrow</t>
  </si>
  <si>
    <t>Plow - Moldboard</t>
  </si>
  <si>
    <t xml:space="preserve">Plows </t>
  </si>
  <si>
    <t>Spray (on Field Cultivator)</t>
  </si>
  <si>
    <t>Spray (on Disk)</t>
  </si>
  <si>
    <t>Spray (Prior Year Stubble)</t>
  </si>
  <si>
    <t>Velpar 75DF</t>
  </si>
  <si>
    <t>PivotE 125’Lift w/fertigation</t>
  </si>
  <si>
    <t>Combine Small Grain</t>
  </si>
  <si>
    <t>32-0-0 (Applied by Pivot)</t>
  </si>
  <si>
    <t>Vida</t>
  </si>
  <si>
    <t>Peas</t>
  </si>
  <si>
    <t>Pea Seed Innoculent</t>
  </si>
  <si>
    <t>Sharpen</t>
  </si>
  <si>
    <t>Combine Sunflowers</t>
  </si>
  <si>
    <t>Spray fertilizer and herbicide</t>
  </si>
  <si>
    <t>Rod Weeder &amp; Fertilizer</t>
  </si>
  <si>
    <t>Spray Fertilizer</t>
  </si>
  <si>
    <t>Ridge plant and band herb.</t>
  </si>
  <si>
    <t>Dry 2 Points Removed</t>
  </si>
  <si>
    <t>Corn ECB &amp; RR2</t>
  </si>
  <si>
    <t xml:space="preserve">Does Crop Follow a Legume? </t>
  </si>
  <si>
    <t>Yes</t>
  </si>
  <si>
    <t>No</t>
  </si>
  <si>
    <t>k seeds</t>
  </si>
  <si>
    <t>Buctril 4E</t>
  </si>
  <si>
    <t>RR Soybeans Treated</t>
  </si>
  <si>
    <t>RR2 Soybeans Treated</t>
  </si>
  <si>
    <t>Bale Lg Sq 1360 lb</t>
  </si>
  <si>
    <t>Combine Irrigated Dry Beans with Draper Flex Platform</t>
  </si>
  <si>
    <t>Gramoxone SL</t>
  </si>
  <si>
    <t xml:space="preserve">Mower-conditioner </t>
  </si>
  <si>
    <t>Sunflower Dryland</t>
  </si>
  <si>
    <t>Sunflower Irrigated</t>
  </si>
  <si>
    <t>Farm Wide Inputs</t>
  </si>
  <si>
    <t>Alfalfa</t>
  </si>
  <si>
    <t>Dry Beans</t>
  </si>
  <si>
    <t>Grain Sorghum</t>
  </si>
  <si>
    <t>Grass</t>
  </si>
  <si>
    <t>Grass Hay</t>
  </si>
  <si>
    <t>Pasture</t>
  </si>
  <si>
    <t>Sorghum-Sudan</t>
  </si>
  <si>
    <t>Soybeans</t>
  </si>
  <si>
    <t>Wheat</t>
  </si>
  <si>
    <t>Pivot (Marginal Land)</t>
  </si>
  <si>
    <t>Ridge Cultivate/Ditch</t>
  </si>
  <si>
    <t>Atrazine 4L</t>
  </si>
  <si>
    <t>Corn Dryland Ecofallow</t>
  </si>
  <si>
    <t>Cover Crop</t>
  </si>
  <si>
    <t>Cover Crop Legume</t>
  </si>
  <si>
    <t>32-0-0 (Additive)</t>
  </si>
  <si>
    <t>Extension Plant Pathologist - Corn and Sorghum</t>
  </si>
  <si>
    <t>Extension Plant Pathologist - Soybean and Turf</t>
  </si>
  <si>
    <t>Paul J. Jasa</t>
  </si>
  <si>
    <t>Extension Engineer</t>
  </si>
  <si>
    <t>pjasa1@unl.edu</t>
  </si>
  <si>
    <t>Stephen N. Wegulo</t>
  </si>
  <si>
    <t>Extension Plant Pathologist - Wheat and Ornamental</t>
  </si>
  <si>
    <t>Robert G. Wilson</t>
  </si>
  <si>
    <t>Weed Management Specialist</t>
  </si>
  <si>
    <t>rwilson5@unl.edu</t>
  </si>
  <si>
    <t>Gary W. Hergert</t>
  </si>
  <si>
    <t>Soil and Nutrition Management Specialist</t>
  </si>
  <si>
    <t>ghergert1@unl.edu</t>
  </si>
  <si>
    <t>James A. Schild</t>
  </si>
  <si>
    <t>Extension Educator in Scotts Bluff and Morrill Counties</t>
  </si>
  <si>
    <t>jschild1@unl.edu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</si>
</sst>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 #,##0.0000_);_(* \(#,##0.0000\);_(* &quot;-&quot;??_);_(@_)"/>
    <numFmt numFmtId="167" formatCode="_(&quot;$&quot;* #,##0_);_(&quot;$&quot;* \(#,##0\);_(&quot;$&quot;* &quot;-&quot;??_);_(@_)"/>
  </numFmts>
  <fonts count="31" x14ac:knownFonts="1">
    <font>
      <sz val="10"/>
      <color theme="1"/>
      <name val="Arial"/>
      <family val="2"/>
    </font>
    <font>
      <sz val="10"/>
      <color theme="1"/>
      <name val="Arial"/>
      <family val="2"/>
    </font>
    <font>
      <b/>
      <sz val="10"/>
      <color theme="1"/>
      <name val="Arial"/>
      <family val="2"/>
    </font>
    <font>
      <sz val="10"/>
      <color theme="0"/>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0"/>
      <color rgb="FF000000"/>
      <name val="Arial"/>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sz val="8"/>
      <name val="Arial"/>
      <family val="2"/>
    </font>
    <font>
      <b/>
      <sz val="12"/>
      <color rgb="FFFF0000"/>
      <name val="Arial"/>
      <family val="2"/>
    </font>
    <font>
      <b/>
      <sz val="10"/>
      <color indexed="8"/>
      <name val="Arial"/>
      <family val="2"/>
    </font>
    <font>
      <u/>
      <sz val="10"/>
      <color theme="10"/>
      <name val="Arial"/>
      <family val="2"/>
    </font>
    <font>
      <b/>
      <sz val="12"/>
      <name val="Arial"/>
      <family val="2"/>
    </font>
    <font>
      <b/>
      <sz val="12"/>
      <color theme="1"/>
      <name val="Arial"/>
      <family val="2"/>
    </font>
    <font>
      <sz val="26"/>
      <color theme="1"/>
      <name val="Arial"/>
      <family val="2"/>
    </font>
  </fonts>
  <fills count="7">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s>
  <borders count="26">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theme="5" tint="0.39997558519241921"/>
      </left>
      <right/>
      <top style="thin">
        <color theme="5" tint="0.39997558519241921"/>
      </top>
      <bottom style="thin">
        <color theme="5"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double">
        <color rgb="FFFF0000"/>
      </bottom>
      <diagonal/>
    </border>
    <border>
      <left style="thin">
        <color rgb="FFFF0000"/>
      </left>
      <right style="thin">
        <color rgb="FFFF0000"/>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style="thin">
        <color rgb="FFFF0000"/>
      </left>
      <right/>
      <top style="thin">
        <color rgb="FFFF0000"/>
      </top>
      <bottom style="double">
        <color rgb="FFFF0000"/>
      </bottom>
      <diagonal/>
    </border>
    <border>
      <left/>
      <right style="thin">
        <color rgb="FFFF0000"/>
      </right>
      <top style="thin">
        <color rgb="FFFF0000"/>
      </top>
      <bottom style="double">
        <color rgb="FFFF000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7" fillId="0" borderId="0" applyNumberFormat="0" applyFill="0" applyBorder="0" applyAlignment="0" applyProtection="0">
      <alignment vertical="top"/>
      <protection locked="0"/>
    </xf>
  </cellStyleXfs>
  <cellXfs count="328">
    <xf numFmtId="0" fontId="0" fillId="0" borderId="0" xfId="0"/>
    <xf numFmtId="0" fontId="5" fillId="0" borderId="0" xfId="0" applyFont="1" applyFill="1"/>
    <xf numFmtId="0" fontId="0" fillId="0" borderId="0" xfId="0"/>
    <xf numFmtId="0" fontId="11"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37" fontId="11" fillId="0" borderId="0" xfId="1" applyNumberFormat="1" applyFont="1" applyFill="1" applyAlignment="1" applyProtection="1"/>
    <xf numFmtId="37" fontId="11" fillId="0" borderId="0" xfId="1" applyNumberFormat="1" applyFont="1" applyFill="1" applyBorder="1" applyAlignment="1" applyProtection="1"/>
    <xf numFmtId="0" fontId="11" fillId="0" borderId="6" xfId="0" applyNumberFormat="1" applyFont="1" applyFill="1" applyBorder="1" applyAlignment="1"/>
    <xf numFmtId="0" fontId="11" fillId="2" borderId="6" xfId="0" applyNumberFormat="1" applyFont="1" applyFill="1" applyBorder="1" applyAlignment="1"/>
    <xf numFmtId="0" fontId="15"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vertical="top"/>
    </xf>
    <xf numFmtId="2" fontId="5" fillId="0" borderId="0" xfId="0" applyNumberFormat="1" applyFont="1" applyFill="1"/>
    <xf numFmtId="8" fontId="0" fillId="0" borderId="0" xfId="0" applyNumberFormat="1"/>
    <xf numFmtId="0" fontId="11" fillId="2" borderId="8" xfId="0" applyNumberFormat="1" applyFont="1" applyFill="1" applyBorder="1" applyAlignment="1"/>
    <xf numFmtId="0" fontId="11" fillId="2" borderId="13" xfId="0" applyNumberFormat="1" applyFont="1" applyFill="1" applyBorder="1" applyAlignment="1">
      <alignment wrapText="1"/>
    </xf>
    <xf numFmtId="0" fontId="11" fillId="0" borderId="5" xfId="0" applyNumberFormat="1" applyFont="1" applyFill="1" applyBorder="1" applyAlignment="1">
      <alignment wrapText="1"/>
    </xf>
    <xf numFmtId="0" fontId="11" fillId="2" borderId="5" xfId="0" applyNumberFormat="1" applyFont="1" applyFill="1" applyBorder="1" applyAlignment="1">
      <alignment wrapText="1"/>
    </xf>
    <xf numFmtId="0" fontId="11" fillId="2" borderId="8" xfId="0" applyNumberFormat="1" applyFont="1" applyFill="1" applyBorder="1" applyAlignment="1">
      <alignment wrapText="1"/>
    </xf>
    <xf numFmtId="0" fontId="11" fillId="0" borderId="6" xfId="0" applyNumberFormat="1" applyFont="1" applyFill="1" applyBorder="1" applyAlignment="1">
      <alignment wrapText="1"/>
    </xf>
    <xf numFmtId="0" fontId="11" fillId="2" borderId="6" xfId="0" applyNumberFormat="1" applyFont="1" applyFill="1" applyBorder="1" applyAlignment="1">
      <alignment wrapText="1"/>
    </xf>
    <xf numFmtId="0" fontId="0" fillId="0" borderId="0" xfId="0" applyFill="1"/>
    <xf numFmtId="43" fontId="5" fillId="0" borderId="3" xfId="0" applyNumberFormat="1" applyFont="1" applyBorder="1"/>
    <xf numFmtId="2" fontId="5" fillId="0" borderId="0" xfId="0" applyNumberFormat="1" applyFont="1" applyBorder="1" applyAlignment="1"/>
    <xf numFmtId="2" fontId="5" fillId="0" borderId="0" xfId="3" applyNumberFormat="1" applyFont="1"/>
    <xf numFmtId="2" fontId="5" fillId="0" borderId="3" xfId="3" applyNumberFormat="1" applyFont="1" applyBorder="1"/>
    <xf numFmtId="0" fontId="0" fillId="4" borderId="0" xfId="0" applyFill="1"/>
    <xf numFmtId="0" fontId="5" fillId="4" borderId="15" xfId="0" applyFont="1" applyFill="1" applyBorder="1" applyAlignment="1">
      <alignment wrapText="1"/>
    </xf>
    <xf numFmtId="0" fontId="5" fillId="4" borderId="15" xfId="0" applyFont="1" applyFill="1" applyBorder="1"/>
    <xf numFmtId="0" fontId="0" fillId="4" borderId="15" xfId="0" applyFill="1" applyBorder="1"/>
    <xf numFmtId="0" fontId="25" fillId="4" borderId="0" xfId="0" applyFont="1" applyFill="1" applyAlignment="1">
      <alignment wrapText="1"/>
    </xf>
    <xf numFmtId="2" fontId="0" fillId="0" borderId="0" xfId="0" applyNumberFormat="1" applyFill="1"/>
    <xf numFmtId="2" fontId="0" fillId="0" borderId="0" xfId="0" applyNumberFormat="1" applyFill="1" applyBorder="1"/>
    <xf numFmtId="2" fontId="5" fillId="0" borderId="0" xfId="0" applyNumberFormat="1" applyFont="1" applyFill="1" applyBorder="1"/>
    <xf numFmtId="2" fontId="0" fillId="0" borderId="3" xfId="0" applyNumberFormat="1" applyFill="1" applyBorder="1"/>
    <xf numFmtId="0" fontId="0" fillId="0" borderId="4" xfId="0" applyFill="1" applyBorder="1"/>
    <xf numFmtId="0" fontId="0" fillId="0" borderId="18" xfId="0" applyFill="1" applyBorder="1"/>
    <xf numFmtId="0" fontId="0" fillId="0" borderId="3" xfId="0" applyFill="1" applyBorder="1" applyProtection="1">
      <protection locked="0"/>
    </xf>
    <xf numFmtId="0" fontId="0" fillId="0" borderId="3" xfId="0" applyFill="1" applyBorder="1" applyAlignment="1" applyProtection="1">
      <alignment horizontal="center"/>
      <protection locked="0"/>
    </xf>
    <xf numFmtId="0" fontId="0" fillId="0" borderId="3" xfId="0" applyFill="1" applyBorder="1"/>
    <xf numFmtId="0" fontId="2" fillId="0" borderId="0" xfId="0" applyFont="1" applyFill="1" applyAlignment="1">
      <alignment horizontal="right"/>
    </xf>
    <xf numFmtId="0" fontId="2" fillId="0" borderId="0" xfId="0" applyFont="1" applyFill="1" applyAlignment="1">
      <alignment wrapText="1"/>
    </xf>
    <xf numFmtId="0" fontId="2" fillId="0" borderId="3" xfId="0" applyFont="1" applyFill="1" applyBorder="1" applyAlignment="1">
      <alignment wrapText="1"/>
    </xf>
    <xf numFmtId="0" fontId="0" fillId="0" borderId="0" xfId="0" applyFill="1" applyBorder="1" applyAlignment="1">
      <alignment horizontal="left"/>
    </xf>
    <xf numFmtId="2" fontId="0" fillId="0" borderId="0" xfId="0" applyNumberFormat="1" applyFill="1" applyBorder="1" applyAlignment="1">
      <alignment horizontal="center"/>
    </xf>
    <xf numFmtId="0" fontId="0" fillId="0" borderId="3" xfId="0" applyFill="1" applyBorder="1" applyAlignment="1">
      <alignment horizontal="center"/>
    </xf>
    <xf numFmtId="9" fontId="0" fillId="0" borderId="3" xfId="2" applyFont="1" applyFill="1" applyBorder="1" applyAlignment="1" applyProtection="1">
      <alignment horizontal="center"/>
      <protection locked="0"/>
    </xf>
    <xf numFmtId="0" fontId="0" fillId="0" borderId="3" xfId="0" applyFill="1" applyBorder="1" applyAlignment="1" applyProtection="1">
      <protection locked="0"/>
    </xf>
    <xf numFmtId="0" fontId="0" fillId="0" borderId="3" xfId="0" applyFill="1" applyBorder="1" applyAlignment="1">
      <alignment horizontal="left"/>
    </xf>
    <xf numFmtId="2" fontId="0" fillId="0" borderId="3" xfId="0" applyNumberFormat="1" applyFill="1" applyBorder="1" applyAlignment="1">
      <alignment horizontal="center"/>
    </xf>
    <xf numFmtId="0" fontId="0" fillId="0" borderId="0" xfId="0" applyFill="1" applyAlignment="1">
      <alignment horizontal="right"/>
    </xf>
    <xf numFmtId="44" fontId="5" fillId="0" borderId="0" xfId="1" applyFont="1" applyFill="1"/>
    <xf numFmtId="10" fontId="0" fillId="0" borderId="0" xfId="0" applyNumberFormat="1" applyFill="1"/>
    <xf numFmtId="43" fontId="0" fillId="0" borderId="0" xfId="0" applyNumberFormat="1" applyFill="1"/>
    <xf numFmtId="0" fontId="0" fillId="0" borderId="14" xfId="0" applyFill="1" applyBorder="1"/>
    <xf numFmtId="0" fontId="5" fillId="0" borderId="0" xfId="0" applyFont="1" applyFill="1" applyBorder="1" applyAlignment="1"/>
    <xf numFmtId="0" fontId="9" fillId="0" borderId="0" xfId="0" applyFont="1" applyFill="1" applyBorder="1" applyAlignment="1"/>
    <xf numFmtId="167" fontId="0" fillId="0" borderId="0" xfId="1" applyNumberFormat="1" applyFont="1" applyFill="1"/>
    <xf numFmtId="167" fontId="5" fillId="0" borderId="0" xfId="1" applyNumberFormat="1" applyFont="1" applyFill="1"/>
    <xf numFmtId="10" fontId="5" fillId="0" borderId="0" xfId="0" applyNumberFormat="1" applyFont="1" applyFill="1"/>
    <xf numFmtId="0" fontId="5" fillId="0" borderId="4" xfId="0" applyFont="1" applyFill="1" applyBorder="1"/>
    <xf numFmtId="0" fontId="0" fillId="5" borderId="0" xfId="0" applyFill="1" applyBorder="1" applyProtection="1">
      <protection locked="0"/>
    </xf>
    <xf numFmtId="2" fontId="5" fillId="5" borderId="0" xfId="0" applyNumberFormat="1" applyFont="1" applyFill="1" applyBorder="1" applyAlignment="1" applyProtection="1">
      <alignment horizontal="center"/>
      <protection locked="0"/>
    </xf>
    <xf numFmtId="44" fontId="5" fillId="5" borderId="15" xfId="1" applyFont="1" applyFill="1" applyBorder="1" applyProtection="1">
      <protection locked="0"/>
    </xf>
    <xf numFmtId="165" fontId="5" fillId="5" borderId="15" xfId="1" applyNumberFormat="1" applyFont="1" applyFill="1" applyBorder="1" applyProtection="1">
      <protection locked="0"/>
    </xf>
    <xf numFmtId="0" fontId="5" fillId="5" borderId="15" xfId="0" applyFont="1" applyFill="1" applyBorder="1" applyAlignment="1" applyProtection="1">
      <alignment wrapText="1"/>
      <protection locked="0"/>
    </xf>
    <xf numFmtId="0" fontId="0" fillId="5" borderId="15" xfId="0" applyFill="1" applyBorder="1" applyProtection="1">
      <protection locked="0"/>
    </xf>
    <xf numFmtId="10" fontId="5" fillId="5" borderId="15" xfId="2" applyNumberFormat="1" applyFont="1" applyFill="1" applyBorder="1" applyProtection="1">
      <protection locked="0"/>
    </xf>
    <xf numFmtId="43" fontId="5" fillId="5" borderId="15" xfId="3" applyFont="1" applyFill="1" applyBorder="1" applyProtection="1">
      <protection locked="0"/>
    </xf>
    <xf numFmtId="0" fontId="5" fillId="0" borderId="15" xfId="0" applyFont="1" applyFill="1" applyBorder="1" applyAlignment="1" applyProtection="1">
      <alignment wrapText="1"/>
    </xf>
    <xf numFmtId="0" fontId="5" fillId="0" borderId="15" xfId="0" quotePrefix="1" applyFont="1" applyFill="1" applyBorder="1" applyProtection="1"/>
    <xf numFmtId="0" fontId="0" fillId="0" borderId="15" xfId="0" applyFill="1" applyBorder="1" applyProtection="1"/>
    <xf numFmtId="0" fontId="5" fillId="0" borderId="15"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2" fillId="5" borderId="2" xfId="0" applyNumberFormat="1" applyFont="1" applyFill="1" applyBorder="1" applyAlignment="1" applyProtection="1">
      <alignment horizontal="center"/>
      <protection locked="0"/>
    </xf>
    <xf numFmtId="2" fontId="14" fillId="0" borderId="9" xfId="0" applyNumberFormat="1" applyFont="1" applyFill="1" applyBorder="1" applyAlignment="1" applyProtection="1">
      <alignment horizontal="left" wrapText="1"/>
    </xf>
    <xf numFmtId="2" fontId="14" fillId="0" borderId="9" xfId="0" applyNumberFormat="1" applyFont="1" applyFill="1" applyBorder="1" applyAlignment="1" applyProtection="1">
      <alignment horizontal="center" wrapText="1"/>
    </xf>
    <xf numFmtId="2" fontId="14" fillId="0" borderId="1" xfId="0" applyNumberFormat="1" applyFont="1" applyFill="1" applyBorder="1" applyAlignment="1" applyProtection="1">
      <alignment horizontal="center" wrapText="1"/>
    </xf>
    <xf numFmtId="2" fontId="14" fillId="0" borderId="12" xfId="0" applyNumberFormat="1" applyFont="1" applyFill="1" applyBorder="1" applyAlignment="1" applyProtection="1">
      <alignment horizontal="center" wrapText="1"/>
    </xf>
    <xf numFmtId="2" fontId="14" fillId="0" borderId="10" xfId="0" applyNumberFormat="1" applyFont="1" applyFill="1" applyBorder="1" applyAlignment="1" applyProtection="1">
      <alignment horizontal="center" wrapText="1"/>
    </xf>
    <xf numFmtId="0" fontId="0" fillId="0" borderId="0" xfId="0" applyProtection="1"/>
    <xf numFmtId="0" fontId="4" fillId="0" borderId="6" xfId="0" applyNumberFormat="1" applyFont="1" applyFill="1" applyBorder="1" applyAlignment="1" applyProtection="1"/>
    <xf numFmtId="0" fontId="4" fillId="0" borderId="6" xfId="0" applyFont="1" applyFill="1" applyBorder="1" applyProtection="1"/>
    <xf numFmtId="37" fontId="4"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10" fillId="0" borderId="8" xfId="0" applyNumberFormat="1" applyFont="1" applyFill="1" applyBorder="1" applyAlignment="1" applyProtection="1"/>
    <xf numFmtId="0" fontId="11" fillId="0" borderId="8" xfId="0" applyNumberFormat="1" applyFont="1" applyFill="1" applyBorder="1" applyAlignment="1" applyProtection="1"/>
    <xf numFmtId="0" fontId="11" fillId="0" borderId="8" xfId="0" applyNumberFormat="1" applyFont="1" applyFill="1" applyBorder="1" applyAlignment="1" applyProtection="1">
      <alignment horizontal="center"/>
    </xf>
    <xf numFmtId="37" fontId="11" fillId="0" borderId="8" xfId="1" applyNumberFormat="1" applyFont="1" applyFill="1" applyBorder="1" applyAlignment="1" applyProtection="1"/>
    <xf numFmtId="0" fontId="11" fillId="0" borderId="6" xfId="0" applyNumberFormat="1" applyFont="1" applyFill="1" applyBorder="1" applyAlignment="1" applyProtection="1"/>
    <xf numFmtId="0" fontId="11" fillId="0" borderId="6" xfId="0" applyNumberFormat="1" applyFont="1" applyFill="1" applyBorder="1" applyAlignment="1" applyProtection="1">
      <alignment horizontal="center"/>
    </xf>
    <xf numFmtId="37" fontId="11" fillId="0" borderId="6" xfId="1" applyNumberFormat="1" applyFont="1" applyFill="1" applyBorder="1" applyAlignment="1" applyProtection="1"/>
    <xf numFmtId="0" fontId="14" fillId="0" borderId="2" xfId="0" applyFont="1" applyFill="1" applyBorder="1" applyAlignment="1" applyProtection="1">
      <alignment vertical="top" wrapText="1"/>
    </xf>
    <xf numFmtId="0" fontId="14" fillId="0" borderId="2" xfId="0" applyFont="1" applyFill="1" applyBorder="1" applyAlignment="1" applyProtection="1">
      <alignment horizontal="center" vertical="top" wrapText="1"/>
    </xf>
    <xf numFmtId="2" fontId="14" fillId="0" borderId="2" xfId="0" applyNumberFormat="1" applyFont="1" applyFill="1" applyBorder="1" applyAlignment="1" applyProtection="1">
      <alignment horizontal="center" vertical="top" wrapText="1"/>
    </xf>
    <xf numFmtId="0" fontId="15" fillId="0" borderId="0" xfId="0" applyFont="1" applyFill="1" applyAlignment="1" applyProtection="1">
      <alignment vertical="top" wrapText="1"/>
    </xf>
    <xf numFmtId="0" fontId="15" fillId="0" borderId="0" xfId="0" applyFont="1" applyAlignment="1" applyProtection="1">
      <alignment vertical="top"/>
    </xf>
    <xf numFmtId="0" fontId="15" fillId="0" borderId="0" xfId="0" applyFont="1" applyFill="1" applyAlignment="1" applyProtection="1">
      <alignment vertical="top"/>
    </xf>
    <xf numFmtId="37" fontId="15" fillId="0" borderId="0" xfId="1" applyNumberFormat="1" applyFont="1" applyAlignment="1" applyProtection="1">
      <alignment vertical="top" wrapText="1"/>
    </xf>
    <xf numFmtId="0" fontId="18" fillId="3" borderId="0" xfId="0" applyFont="1" applyFill="1" applyAlignment="1" applyProtection="1">
      <alignment vertical="top" wrapText="1"/>
    </xf>
    <xf numFmtId="43" fontId="0" fillId="3" borderId="12" xfId="3" applyNumberFormat="1" applyFont="1" applyFill="1" applyBorder="1" applyProtection="1"/>
    <xf numFmtId="2" fontId="0" fillId="3" borderId="12" xfId="3" applyNumberFormat="1" applyFont="1" applyFill="1" applyBorder="1" applyProtection="1"/>
    <xf numFmtId="0" fontId="5" fillId="0" borderId="0" xfId="0" applyFont="1" applyFill="1" applyProtection="1"/>
    <xf numFmtId="0" fontId="5"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166" fontId="0" fillId="3" borderId="12" xfId="3" applyNumberFormat="1" applyFont="1" applyFill="1" applyBorder="1" applyProtection="1"/>
    <xf numFmtId="0" fontId="11" fillId="0" borderId="5" xfId="0" applyNumberFormat="1" applyFont="1" applyFill="1" applyBorder="1" applyAlignment="1" applyProtection="1"/>
    <xf numFmtId="37" fontId="11" fillId="0" borderId="7" xfId="1" applyNumberFormat="1" applyFont="1" applyFill="1" applyBorder="1" applyAlignment="1" applyProtection="1"/>
    <xf numFmtId="0" fontId="11" fillId="2" borderId="5" xfId="0" applyNumberFormat="1" applyFont="1" applyFill="1" applyBorder="1" applyAlignment="1" applyProtection="1"/>
    <xf numFmtId="0" fontId="11" fillId="2" borderId="6" xfId="0" applyNumberFormat="1" applyFont="1" applyFill="1" applyBorder="1" applyAlignment="1" applyProtection="1"/>
    <xf numFmtId="0" fontId="11" fillId="2" borderId="6" xfId="0" applyNumberFormat="1" applyFont="1" applyFill="1" applyBorder="1" applyAlignment="1" applyProtection="1">
      <alignment horizontal="center"/>
    </xf>
    <xf numFmtId="37" fontId="11" fillId="2" borderId="7" xfId="1" applyNumberFormat="1" applyFont="1" applyFill="1" applyBorder="1" applyAlignment="1" applyProtection="1"/>
    <xf numFmtId="164" fontId="0" fillId="3" borderId="12" xfId="3" applyNumberFormat="1" applyFont="1" applyFill="1" applyBorder="1" applyAlignment="1" applyProtection="1">
      <alignment horizontal="center" vertical="top" wrapText="1"/>
    </xf>
    <xf numFmtId="43" fontId="0" fillId="3" borderId="12" xfId="3" applyNumberFormat="1" applyFont="1" applyFill="1" applyBorder="1" applyAlignment="1" applyProtection="1">
      <alignment horizontal="center" vertical="top" wrapText="1"/>
    </xf>
    <xf numFmtId="43" fontId="0" fillId="3" borderId="2" xfId="3" applyNumberFormat="1" applyFont="1" applyFill="1" applyBorder="1" applyAlignment="1" applyProtection="1">
      <alignment horizontal="center" vertical="top" wrapText="1"/>
    </xf>
    <xf numFmtId="2" fontId="0" fillId="3" borderId="2" xfId="3" applyNumberFormat="1" applyFont="1" applyFill="1" applyBorder="1" applyAlignment="1" applyProtection="1">
      <alignment horizontal="center" vertical="top" wrapText="1"/>
    </xf>
    <xf numFmtId="2" fontId="0" fillId="3" borderId="12" xfId="3" applyNumberFormat="1" applyFont="1" applyFill="1" applyBorder="1" applyAlignment="1" applyProtection="1">
      <alignment horizontal="center" vertical="top" wrapText="1"/>
    </xf>
    <xf numFmtId="2" fontId="5" fillId="0" borderId="0" xfId="0" applyNumberFormat="1" applyFont="1" applyFill="1" applyProtection="1"/>
    <xf numFmtId="0" fontId="5" fillId="0" borderId="0" xfId="0" applyFont="1" applyFill="1" applyAlignment="1" applyProtection="1">
      <alignment horizontal="center"/>
    </xf>
    <xf numFmtId="0" fontId="6" fillId="5" borderId="2" xfId="0" applyNumberFormat="1" applyFont="1" applyFill="1" applyBorder="1" applyAlignment="1" applyProtection="1">
      <alignment vertical="top" wrapText="1"/>
      <protection locked="0"/>
    </xf>
    <xf numFmtId="0" fontId="6" fillId="5" borderId="2" xfId="0" applyFont="1" applyFill="1" applyBorder="1" applyAlignment="1" applyProtection="1">
      <alignment horizontal="center" vertical="top" wrapText="1"/>
      <protection locked="0"/>
    </xf>
    <xf numFmtId="8" fontId="6" fillId="5" borderId="2" xfId="0" applyNumberFormat="1" applyFont="1" applyFill="1" applyBorder="1" applyAlignment="1" applyProtection="1">
      <alignment horizontal="center" vertical="top" wrapText="1"/>
      <protection locked="0"/>
    </xf>
    <xf numFmtId="38" fontId="6" fillId="5" borderId="2" xfId="0" applyNumberFormat="1" applyFont="1" applyFill="1" applyBorder="1" applyAlignment="1" applyProtection="1">
      <alignment horizontal="center" vertical="top" wrapText="1"/>
      <protection locked="0"/>
    </xf>
    <xf numFmtId="43" fontId="6" fillId="5" borderId="2" xfId="3" applyFont="1" applyFill="1" applyBorder="1" applyAlignment="1" applyProtection="1">
      <alignment horizontal="center" vertical="top" wrapText="1"/>
      <protection locked="0"/>
    </xf>
    <xf numFmtId="40" fontId="19" fillId="5" borderId="2" xfId="3" applyNumberFormat="1" applyFont="1" applyFill="1" applyBorder="1" applyAlignment="1" applyProtection="1">
      <alignment horizontal="center" vertical="top" wrapText="1"/>
      <protection locked="0"/>
    </xf>
    <xf numFmtId="0" fontId="19" fillId="5" borderId="2" xfId="3" applyNumberFormat="1" applyFont="1" applyFill="1" applyBorder="1" applyAlignment="1" applyProtection="1">
      <alignment horizontal="center" vertical="top" wrapText="1"/>
      <protection locked="0"/>
    </xf>
    <xf numFmtId="0" fontId="19" fillId="5" borderId="0" xfId="3" applyNumberFormat="1" applyFont="1" applyFill="1" applyBorder="1" applyAlignment="1" applyProtection="1">
      <alignment horizontal="center" vertical="top" wrapText="1"/>
      <protection locked="0"/>
    </xf>
    <xf numFmtId="40" fontId="6" fillId="5" borderId="2" xfId="0" applyNumberFormat="1" applyFont="1" applyFill="1" applyBorder="1" applyAlignment="1" applyProtection="1">
      <alignment horizontal="center" vertical="top" wrapText="1"/>
      <protection locked="0"/>
    </xf>
    <xf numFmtId="38" fontId="21" fillId="5" borderId="2" xfId="0" applyNumberFormat="1" applyFont="1" applyFill="1" applyBorder="1" applyAlignment="1" applyProtection="1">
      <alignment horizontal="center" vertical="top" wrapText="1"/>
      <protection locked="0"/>
    </xf>
    <xf numFmtId="40" fontId="21" fillId="5" borderId="2" xfId="0" applyNumberFormat="1" applyFont="1" applyFill="1" applyBorder="1" applyAlignment="1" applyProtection="1">
      <alignment horizontal="center" vertical="top" wrapText="1"/>
      <protection locked="0"/>
    </xf>
    <xf numFmtId="40" fontId="23" fillId="5" borderId="2" xfId="0" applyNumberFormat="1" applyFont="1" applyFill="1" applyBorder="1" applyAlignment="1" applyProtection="1">
      <alignment horizontal="center" vertical="top" wrapText="1"/>
      <protection locked="0"/>
    </xf>
    <xf numFmtId="38" fontId="19" fillId="5" borderId="2" xfId="0" applyNumberFormat="1" applyFont="1" applyFill="1" applyBorder="1" applyAlignment="1" applyProtection="1">
      <alignment horizontal="center" vertical="top" wrapText="1"/>
      <protection locked="0"/>
    </xf>
    <xf numFmtId="38" fontId="23" fillId="5" borderId="2" xfId="0" applyNumberFormat="1" applyFont="1" applyFill="1" applyBorder="1" applyAlignment="1" applyProtection="1">
      <alignment horizontal="center" vertical="top" wrapText="1"/>
      <protection locked="0"/>
    </xf>
    <xf numFmtId="0" fontId="21" fillId="5" borderId="2" xfId="3" applyNumberFormat="1" applyFont="1" applyFill="1" applyBorder="1" applyAlignment="1" applyProtection="1">
      <alignment horizontal="center" vertical="top" wrapText="1"/>
      <protection locked="0"/>
    </xf>
    <xf numFmtId="43" fontId="19" fillId="5" borderId="2" xfId="3" applyFont="1" applyFill="1" applyBorder="1" applyAlignment="1" applyProtection="1">
      <alignment horizontal="center" vertical="top" wrapText="1"/>
      <protection locked="0"/>
    </xf>
    <xf numFmtId="43" fontId="21" fillId="5" borderId="2" xfId="3" applyFont="1" applyFill="1" applyBorder="1" applyAlignment="1" applyProtection="1">
      <alignment horizontal="center" vertical="top" wrapText="1"/>
      <protection locked="0"/>
    </xf>
    <xf numFmtId="0" fontId="6" fillId="5" borderId="0" xfId="0" applyNumberFormat="1" applyFont="1" applyFill="1" applyBorder="1" applyAlignment="1" applyProtection="1">
      <alignment vertical="top" wrapText="1"/>
      <protection locked="0"/>
    </xf>
    <xf numFmtId="0" fontId="6" fillId="5" borderId="0" xfId="0" applyFont="1" applyFill="1" applyBorder="1" applyAlignment="1" applyProtection="1">
      <alignment horizontal="center" vertical="top" wrapText="1"/>
      <protection locked="0"/>
    </xf>
    <xf numFmtId="8" fontId="6" fillId="5" borderId="0" xfId="0" applyNumberFormat="1" applyFont="1" applyFill="1" applyBorder="1" applyAlignment="1" applyProtection="1">
      <alignment horizontal="center" vertical="top" wrapText="1"/>
      <protection locked="0"/>
    </xf>
    <xf numFmtId="43" fontId="19" fillId="5" borderId="0" xfId="3" applyFont="1" applyFill="1" applyBorder="1" applyAlignment="1" applyProtection="1">
      <alignment horizontal="center" vertical="top" wrapText="1"/>
      <protection locked="0"/>
    </xf>
    <xf numFmtId="38" fontId="6" fillId="5" borderId="2" xfId="3" applyNumberFormat="1" applyFont="1" applyFill="1" applyBorder="1" applyAlignment="1" applyProtection="1">
      <alignment horizontal="center" vertical="top" wrapText="1"/>
      <protection locked="0"/>
    </xf>
    <xf numFmtId="8" fontId="19" fillId="5" borderId="2" xfId="3" applyNumberFormat="1" applyFont="1" applyFill="1" applyBorder="1" applyAlignment="1" applyProtection="1">
      <alignment horizontal="center" vertical="top" wrapText="1"/>
      <protection locked="0"/>
    </xf>
    <xf numFmtId="0" fontId="0" fillId="0" borderId="0" xfId="0" applyFill="1" applyAlignment="1" applyProtection="1">
      <alignment wrapText="1"/>
    </xf>
    <xf numFmtId="0" fontId="2" fillId="0" borderId="1" xfId="0" applyFont="1" applyFill="1" applyBorder="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20" fillId="0" borderId="2" xfId="0" applyNumberFormat="1" applyFont="1" applyFill="1" applyBorder="1" applyAlignment="1" applyProtection="1">
      <alignment vertical="top" wrapText="1"/>
    </xf>
    <xf numFmtId="8" fontId="20" fillId="0" borderId="2" xfId="0" applyNumberFormat="1" applyFont="1" applyFill="1" applyBorder="1" applyAlignment="1" applyProtection="1">
      <alignment horizontal="right" wrapText="1"/>
    </xf>
    <xf numFmtId="0" fontId="0" fillId="0" borderId="0" xfId="0" applyFill="1" applyProtection="1"/>
    <xf numFmtId="0" fontId="0" fillId="5" borderId="2" xfId="0" applyFill="1" applyBorder="1" applyProtection="1">
      <protection locked="0"/>
    </xf>
    <xf numFmtId="0" fontId="20" fillId="5" borderId="2" xfId="0" applyNumberFormat="1" applyFont="1" applyFill="1" applyBorder="1" applyAlignment="1" applyProtection="1">
      <alignment vertical="top" wrapText="1"/>
      <protection locked="0"/>
    </xf>
    <xf numFmtId="0" fontId="20" fillId="5" borderId="2" xfId="0" applyFont="1" applyFill="1" applyBorder="1" applyAlignment="1" applyProtection="1">
      <alignment vertical="top" wrapText="1"/>
      <protection locked="0"/>
    </xf>
    <xf numFmtId="2" fontId="20" fillId="5" borderId="2" xfId="0" applyNumberFormat="1" applyFont="1" applyFill="1" applyBorder="1" applyAlignment="1" applyProtection="1">
      <alignment vertical="top" wrapText="1"/>
      <protection locked="0"/>
    </xf>
    <xf numFmtId="9" fontId="20" fillId="5" borderId="2" xfId="0" applyNumberFormat="1" applyFont="1" applyFill="1" applyBorder="1" applyAlignment="1" applyProtection="1">
      <alignment vertical="top" wrapText="1"/>
      <protection locked="0"/>
    </xf>
    <xf numFmtId="2" fontId="0" fillId="5" borderId="0" xfId="0" applyNumberFormat="1" applyFont="1" applyFill="1" applyProtection="1">
      <protection locked="0"/>
    </xf>
    <xf numFmtId="0" fontId="20" fillId="5" borderId="2" xfId="0" applyFont="1" applyFill="1" applyBorder="1" applyAlignment="1" applyProtection="1">
      <alignment wrapText="1"/>
      <protection locked="0"/>
    </xf>
    <xf numFmtId="0" fontId="0" fillId="5" borderId="0" xfId="0" applyFont="1" applyFill="1" applyProtection="1">
      <protection locked="0"/>
    </xf>
    <xf numFmtId="0" fontId="0" fillId="6" borderId="0" xfId="0" applyFill="1" applyBorder="1" applyAlignment="1" applyProtection="1">
      <alignment horizontal="center"/>
      <protection locked="0"/>
    </xf>
    <xf numFmtId="0" fontId="0" fillId="5" borderId="11" xfId="0" applyFont="1" applyFill="1" applyBorder="1"/>
    <xf numFmtId="0" fontId="0" fillId="5" borderId="2" xfId="0" applyFont="1" applyFill="1" applyBorder="1"/>
    <xf numFmtId="0" fontId="20" fillId="5" borderId="2" xfId="0" applyNumberFormat="1" applyFont="1" applyFill="1" applyBorder="1" applyAlignment="1">
      <alignment vertical="top" wrapText="1"/>
    </xf>
    <xf numFmtId="0" fontId="0" fillId="5" borderId="11" xfId="0" applyFont="1" applyFill="1" applyBorder="1" applyAlignment="1">
      <alignment vertical="top" wrapText="1"/>
    </xf>
    <xf numFmtId="0" fontId="20" fillId="5" borderId="2" xfId="0" applyFont="1" applyFill="1" applyBorder="1" applyAlignment="1">
      <alignment vertical="top" wrapText="1"/>
    </xf>
    <xf numFmtId="2" fontId="20" fillId="5" borderId="2" xfId="0" applyNumberFormat="1" applyFont="1" applyFill="1" applyBorder="1" applyAlignment="1">
      <alignment vertical="top" wrapText="1"/>
    </xf>
    <xf numFmtId="9" fontId="20" fillId="5" borderId="2" xfId="0" applyNumberFormat="1" applyFont="1" applyFill="1" applyBorder="1" applyAlignment="1">
      <alignment vertical="top" wrapText="1"/>
    </xf>
    <xf numFmtId="2" fontId="0" fillId="5" borderId="2" xfId="0" applyNumberFormat="1" applyFont="1" applyFill="1" applyBorder="1"/>
    <xf numFmtId="0" fontId="20" fillId="5" borderId="2" xfId="0" applyFont="1" applyFill="1" applyBorder="1" applyAlignment="1">
      <alignment wrapText="1"/>
    </xf>
    <xf numFmtId="0" fontId="0" fillId="5" borderId="11" xfId="0" applyFill="1" applyBorder="1" applyProtection="1">
      <protection locked="0"/>
    </xf>
    <xf numFmtId="0" fontId="0" fillId="5" borderId="11" xfId="0" applyFont="1"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0" fillId="5" borderId="0" xfId="0" applyFont="1" applyFill="1" applyBorder="1" applyAlignment="1">
      <alignment vertical="top" wrapText="1"/>
    </xf>
    <xf numFmtId="44" fontId="5" fillId="0" borderId="15" xfId="1" applyFont="1" applyFill="1" applyBorder="1" applyProtection="1">
      <protection locked="0"/>
    </xf>
    <xf numFmtId="0" fontId="0" fillId="5" borderId="11" xfId="0" applyFill="1" applyBorder="1" applyAlignment="1">
      <alignment vertical="top"/>
    </xf>
    <xf numFmtId="0" fontId="27" fillId="4" borderId="0" xfId="4" applyFill="1" applyAlignment="1" applyProtection="1"/>
    <xf numFmtId="2" fontId="28" fillId="0" borderId="0" xfId="0" applyNumberFormat="1" applyFont="1" applyFill="1" applyBorder="1" applyProtection="1">
      <protection locked="0"/>
    </xf>
    <xf numFmtId="0" fontId="0" fillId="5" borderId="2" xfId="0" applyFill="1" applyBorder="1"/>
    <xf numFmtId="2" fontId="4" fillId="0" borderId="0" xfId="0" applyNumberFormat="1" applyFont="1" applyFill="1" applyBorder="1" applyProtection="1">
      <protection locked="0"/>
    </xf>
    <xf numFmtId="0" fontId="5" fillId="0" borderId="0" xfId="0" applyFont="1" applyFill="1" applyProtection="1">
      <protection locked="0"/>
    </xf>
    <xf numFmtId="0" fontId="5" fillId="0" borderId="0" xfId="0" applyFont="1" applyFill="1" applyAlignment="1" applyProtection="1">
      <alignment horizontal="center"/>
      <protection locked="0"/>
    </xf>
    <xf numFmtId="0" fontId="0" fillId="5" borderId="0" xfId="0" applyFont="1" applyFill="1" applyBorder="1"/>
    <xf numFmtId="0" fontId="20" fillId="5" borderId="0" xfId="0" applyFont="1" applyFill="1" applyBorder="1" applyAlignment="1">
      <alignment vertical="top" wrapText="1"/>
    </xf>
    <xf numFmtId="0" fontId="0" fillId="5" borderId="2" xfId="0" applyFont="1" applyFill="1" applyBorder="1" applyProtection="1">
      <protection locked="0"/>
    </xf>
    <xf numFmtId="2" fontId="20" fillId="5" borderId="0" xfId="0" applyNumberFormat="1" applyFont="1" applyFill="1" applyBorder="1" applyAlignment="1">
      <alignment vertical="top" wrapText="1"/>
    </xf>
    <xf numFmtId="9" fontId="20" fillId="5" borderId="0" xfId="0" applyNumberFormat="1" applyFont="1" applyFill="1" applyBorder="1" applyAlignment="1">
      <alignment vertical="top" wrapText="1"/>
    </xf>
    <xf numFmtId="0" fontId="0" fillId="5" borderId="11" xfId="0" applyFont="1" applyFill="1" applyBorder="1" applyProtection="1">
      <protection locked="0"/>
    </xf>
    <xf numFmtId="0" fontId="0" fillId="5" borderId="15" xfId="0" applyFill="1" applyBorder="1"/>
    <xf numFmtId="2" fontId="0" fillId="5" borderId="15" xfId="0" applyNumberFormat="1" applyFill="1" applyBorder="1"/>
    <xf numFmtId="0" fontId="2" fillId="4" borderId="15" xfId="0" applyFont="1" applyFill="1" applyBorder="1"/>
    <xf numFmtId="0" fontId="0" fillId="4" borderId="19" xfId="0" applyFill="1" applyBorder="1"/>
    <xf numFmtId="0" fontId="0" fillId="4" borderId="21" xfId="0" applyFill="1" applyBorder="1"/>
    <xf numFmtId="0" fontId="2" fillId="4" borderId="20" xfId="0" applyFont="1" applyFill="1" applyBorder="1"/>
    <xf numFmtId="0" fontId="2" fillId="4" borderId="0" xfId="0" applyFont="1" applyFill="1"/>
    <xf numFmtId="0" fontId="0" fillId="0" borderId="0" xfId="0"/>
    <xf numFmtId="0" fontId="2" fillId="0" borderId="0" xfId="0" applyFont="1" applyAlignment="1">
      <alignment horizontal="right"/>
    </xf>
    <xf numFmtId="0" fontId="2" fillId="0" borderId="3" xfId="0" applyFont="1" applyBorder="1" applyAlignment="1">
      <alignment wrapText="1"/>
    </xf>
    <xf numFmtId="0" fontId="2" fillId="0" borderId="0" xfId="0" applyFont="1" applyAlignment="1">
      <alignment wrapText="1"/>
    </xf>
    <xf numFmtId="2" fontId="0" fillId="0" borderId="3" xfId="0" applyNumberFormat="1" applyBorder="1"/>
    <xf numFmtId="0" fontId="0" fillId="0" borderId="0" xfId="0" applyBorder="1" applyAlignment="1">
      <alignment horizontal="left"/>
    </xf>
    <xf numFmtId="0" fontId="0" fillId="0" borderId="3" xfId="0" applyBorder="1" applyAlignment="1">
      <alignment horizontal="left"/>
    </xf>
    <xf numFmtId="2" fontId="0" fillId="0" borderId="0" xfId="0" applyNumberFormat="1" applyBorder="1" applyAlignment="1">
      <alignment horizontal="center"/>
    </xf>
    <xf numFmtId="2" fontId="0" fillId="0" borderId="3" xfId="0" applyNumberFormat="1" applyBorder="1" applyAlignment="1">
      <alignment horizontal="center"/>
    </xf>
    <xf numFmtId="0" fontId="3" fillId="0" borderId="0" xfId="0" applyFont="1"/>
    <xf numFmtId="2" fontId="0" fillId="0" borderId="0" xfId="0" applyNumberFormat="1" applyBorder="1"/>
    <xf numFmtId="0" fontId="5" fillId="0" borderId="0" xfId="0" applyFont="1"/>
    <xf numFmtId="0" fontId="0" fillId="0" borderId="4" xfId="0" applyBorder="1"/>
    <xf numFmtId="0" fontId="0" fillId="0" borderId="14" xfId="0" applyBorder="1"/>
    <xf numFmtId="0" fontId="9" fillId="0" borderId="0" xfId="0" applyFont="1" applyBorder="1" applyAlignment="1"/>
    <xf numFmtId="0" fontId="0" fillId="0" borderId="0" xfId="0" applyAlignment="1">
      <alignment horizontal="right"/>
    </xf>
    <xf numFmtId="10" fontId="0" fillId="0" borderId="0" xfId="0" applyNumberFormat="1"/>
    <xf numFmtId="43" fontId="0" fillId="0" borderId="0" xfId="0" applyNumberFormat="1"/>
    <xf numFmtId="0" fontId="0" fillId="0" borderId="0" xfId="0" applyFill="1"/>
    <xf numFmtId="167" fontId="0" fillId="0" borderId="0" xfId="1" applyNumberFormat="1" applyFont="1"/>
    <xf numFmtId="0" fontId="4" fillId="0" borderId="0" xfId="0" applyFont="1"/>
    <xf numFmtId="0" fontId="5" fillId="0" borderId="4" xfId="0" applyFont="1" applyBorder="1"/>
    <xf numFmtId="0" fontId="5" fillId="0" borderId="0" xfId="0" applyFont="1" applyAlignment="1">
      <alignment horizontal="right"/>
    </xf>
    <xf numFmtId="0" fontId="24" fillId="0" borderId="0" xfId="0" applyFont="1"/>
    <xf numFmtId="10" fontId="5" fillId="0" borderId="0" xfId="0" applyNumberFormat="1" applyFont="1"/>
    <xf numFmtId="0" fontId="5" fillId="0" borderId="0" xfId="0" applyFont="1" applyBorder="1" applyAlignment="1"/>
    <xf numFmtId="167" fontId="5" fillId="0" borderId="0" xfId="1" applyNumberFormat="1" applyFont="1"/>
    <xf numFmtId="44" fontId="5" fillId="0" borderId="0" xfId="1" applyFont="1"/>
    <xf numFmtId="0" fontId="0" fillId="0" borderId="3" xfId="0" applyBorder="1"/>
    <xf numFmtId="0" fontId="0" fillId="0" borderId="3" xfId="0" applyBorder="1" applyAlignment="1">
      <alignment horizontal="center"/>
    </xf>
    <xf numFmtId="0" fontId="0" fillId="0" borderId="18" xfId="0" applyBorder="1"/>
    <xf numFmtId="0" fontId="0" fillId="0" borderId="3" xfId="0" applyBorder="1" applyProtection="1">
      <protection locked="0"/>
    </xf>
    <xf numFmtId="0" fontId="0" fillId="0" borderId="3" xfId="0" applyBorder="1" applyAlignment="1" applyProtection="1">
      <alignment horizontal="center"/>
      <protection locked="0"/>
    </xf>
    <xf numFmtId="9" fontId="0" fillId="0" borderId="3" xfId="2" applyFont="1" applyBorder="1" applyAlignment="1" applyProtection="1">
      <alignment horizontal="center"/>
      <protection locked="0"/>
    </xf>
    <xf numFmtId="0" fontId="0" fillId="0" borderId="3" xfId="0" applyBorder="1" applyAlignment="1" applyProtection="1">
      <protection locked="0"/>
    </xf>
    <xf numFmtId="0" fontId="3" fillId="0" borderId="0" xfId="0" applyFont="1" applyFill="1"/>
    <xf numFmtId="0" fontId="2" fillId="0" borderId="0" xfId="0" applyFont="1" applyFill="1" applyBorder="1"/>
    <xf numFmtId="0" fontId="2" fillId="0" borderId="0" xfId="0" applyFont="1" applyFill="1"/>
    <xf numFmtId="0" fontId="2" fillId="0" borderId="0" xfId="0" applyFont="1" applyFill="1" applyBorder="1" applyProtection="1">
      <protection locked="0"/>
    </xf>
    <xf numFmtId="0" fontId="29" fillId="0" borderId="0" xfId="0" applyFont="1" applyFill="1" applyBorder="1" applyProtection="1">
      <protection locked="0"/>
    </xf>
    <xf numFmtId="2" fontId="0" fillId="0" borderId="0" xfId="0" applyNumberFormat="1"/>
    <xf numFmtId="2" fontId="5" fillId="0" borderId="0" xfId="0" applyNumberFormat="1" applyFont="1"/>
    <xf numFmtId="2" fontId="0" fillId="5" borderId="0" xfId="0" applyNumberFormat="1" applyFont="1" applyFill="1" applyBorder="1"/>
    <xf numFmtId="9" fontId="0" fillId="5" borderId="0" xfId="2" applyFont="1" applyFill="1" applyBorder="1" applyAlignment="1" applyProtection="1">
      <alignment horizontal="center"/>
      <protection locked="0"/>
    </xf>
    <xf numFmtId="0" fontId="2" fillId="0" borderId="0" xfId="0" applyFont="1"/>
    <xf numFmtId="0" fontId="4" fillId="0" borderId="0" xfId="0" applyFont="1" applyAlignment="1">
      <alignment horizontal="right"/>
    </xf>
    <xf numFmtId="0" fontId="4" fillId="0" borderId="0" xfId="0" applyFont="1" applyFill="1"/>
    <xf numFmtId="0" fontId="4" fillId="0" borderId="0" xfId="0" applyFont="1" applyFill="1" applyAlignment="1">
      <alignment horizontal="right"/>
    </xf>
    <xf numFmtId="0" fontId="4" fillId="0" borderId="0" xfId="0" applyFont="1" applyFill="1" applyBorder="1"/>
    <xf numFmtId="0" fontId="5" fillId="0" borderId="0" xfId="0" applyFont="1" applyFill="1" applyBorder="1"/>
    <xf numFmtId="0" fontId="0" fillId="0" borderId="0" xfId="0" applyFill="1" applyBorder="1"/>
    <xf numFmtId="0" fontId="4" fillId="0" borderId="0" xfId="0" applyFont="1" applyFill="1" applyBorder="1" applyProtection="1">
      <protection locked="0"/>
    </xf>
    <xf numFmtId="0" fontId="4" fillId="0" borderId="0" xfId="0" applyFont="1" applyFill="1" applyBorder="1" applyAlignment="1" applyProtection="1">
      <alignment horizontal="center"/>
      <protection locked="0"/>
    </xf>
    <xf numFmtId="0" fontId="26" fillId="0" borderId="0" xfId="0" applyFont="1" applyFill="1" applyBorder="1" applyAlignment="1">
      <alignment horizontal="right"/>
    </xf>
    <xf numFmtId="0" fontId="0" fillId="0" borderId="0" xfId="0" applyBorder="1"/>
    <xf numFmtId="0" fontId="2" fillId="0" borderId="0" xfId="0" applyFont="1" applyBorder="1"/>
    <xf numFmtId="0" fontId="2" fillId="5" borderId="0" xfId="0" applyFont="1" applyFill="1" applyBorder="1" applyProtection="1">
      <protection locked="0"/>
    </xf>
    <xf numFmtId="0" fontId="2" fillId="5" borderId="0" xfId="0" applyFont="1" applyFill="1" applyBorder="1" applyAlignment="1" applyProtection="1">
      <alignment horizontal="center"/>
      <protection locked="0"/>
    </xf>
    <xf numFmtId="0" fontId="2" fillId="5" borderId="0" xfId="0" applyFont="1" applyFill="1" applyBorder="1" applyAlignment="1" applyProtection="1">
      <alignment horizontal="right"/>
      <protection locked="0"/>
    </xf>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9" fontId="5" fillId="5" borderId="0" xfId="2" applyFont="1" applyFill="1" applyBorder="1" applyAlignment="1" applyProtection="1">
      <alignment horizontal="center"/>
      <protection locked="0"/>
    </xf>
    <xf numFmtId="0" fontId="2" fillId="5" borderId="0" xfId="0" applyFont="1" applyFill="1" applyBorder="1"/>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4" fontId="0" fillId="0" borderId="0" xfId="0" applyNumberFormat="1" applyFill="1"/>
    <xf numFmtId="4" fontId="5" fillId="0" borderId="3" xfId="0" applyNumberFormat="1" applyFont="1" applyFill="1" applyBorder="1"/>
    <xf numFmtId="4" fontId="5" fillId="0" borderId="0" xfId="0" applyNumberFormat="1" applyFont="1" applyFill="1" applyBorder="1" applyAlignment="1"/>
    <xf numFmtId="4" fontId="5" fillId="0" borderId="0" xfId="3" applyNumberFormat="1" applyFont="1" applyFill="1"/>
    <xf numFmtId="4" fontId="5" fillId="0" borderId="3" xfId="3" applyNumberFormat="1" applyFont="1" applyFill="1" applyBorder="1"/>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2" fillId="0" borderId="3" xfId="0" applyFont="1" applyFill="1" applyBorder="1" applyAlignment="1">
      <alignment horizontal="center"/>
    </xf>
    <xf numFmtId="0" fontId="0" fillId="0" borderId="0" xfId="0" applyFill="1" applyAlignment="1">
      <alignment horizontal="center"/>
    </xf>
    <xf numFmtId="0" fontId="0" fillId="5" borderId="0" xfId="0" applyFont="1" applyFill="1" applyBorder="1" applyAlignment="1" applyProtection="1">
      <alignment vertical="top" wrapText="1"/>
      <protection locked="0"/>
    </xf>
    <xf numFmtId="0" fontId="20" fillId="5" borderId="0" xfId="0" applyFont="1" applyFill="1" applyBorder="1" applyAlignment="1" applyProtection="1">
      <alignment vertical="top" wrapText="1"/>
      <protection locked="0"/>
    </xf>
    <xf numFmtId="2" fontId="20" fillId="5" borderId="0" xfId="0" applyNumberFormat="1" applyFont="1" applyFill="1" applyBorder="1" applyAlignment="1" applyProtection="1">
      <alignment vertical="top" wrapText="1"/>
      <protection locked="0"/>
    </xf>
    <xf numFmtId="9" fontId="20" fillId="5" borderId="0" xfId="0" applyNumberFormat="1" applyFont="1" applyFill="1" applyBorder="1" applyAlignment="1" applyProtection="1">
      <alignment vertical="top" wrapText="1"/>
      <protection locked="0"/>
    </xf>
    <xf numFmtId="2" fontId="0" fillId="5" borderId="0" xfId="0" applyNumberFormat="1" applyFont="1" applyFill="1" applyBorder="1" applyProtection="1">
      <protection locked="0"/>
    </xf>
    <xf numFmtId="0" fontId="5" fillId="5" borderId="0" xfId="0" applyNumberFormat="1" applyFont="1" applyFill="1" applyBorder="1" applyAlignment="1" applyProtection="1">
      <protection locked="0"/>
    </xf>
    <xf numFmtId="0" fontId="5" fillId="5" borderId="0" xfId="3" applyNumberFormat="1" applyFont="1" applyFill="1" applyBorder="1" applyAlignment="1" applyProtection="1">
      <protection locked="0"/>
    </xf>
    <xf numFmtId="0" fontId="0" fillId="5" borderId="0" xfId="0" applyNumberFormat="1" applyFill="1" applyBorder="1" applyAlignment="1" applyProtection="1">
      <protection locked="0"/>
    </xf>
    <xf numFmtId="0" fontId="0" fillId="5" borderId="0" xfId="0" applyFont="1" applyFill="1" applyBorder="1" applyProtection="1">
      <protection locked="0"/>
    </xf>
    <xf numFmtId="2" fontId="5" fillId="5" borderId="0" xfId="0" applyNumberFormat="1" applyFont="1" applyFill="1" applyBorder="1" applyAlignment="1" applyProtection="1">
      <protection locked="0"/>
    </xf>
    <xf numFmtId="0" fontId="2" fillId="6" borderId="0" xfId="0" applyFont="1" applyFill="1"/>
    <xf numFmtId="0" fontId="2" fillId="0" borderId="0" xfId="0" applyFont="1" applyBorder="1" applyAlignment="1">
      <alignment horizontal="center" wrapText="1"/>
    </xf>
    <xf numFmtId="0" fontId="2" fillId="0" borderId="3" xfId="0" applyFont="1" applyBorder="1" applyAlignment="1">
      <alignment horizontal="center" wrapText="1"/>
    </xf>
    <xf numFmtId="0" fontId="2" fillId="0" borderId="3" xfId="0" applyFont="1" applyBorder="1" applyAlignment="1">
      <alignment horizontal="center"/>
    </xf>
    <xf numFmtId="0" fontId="0" fillId="0" borderId="0" xfId="0" applyAlignment="1">
      <alignment horizontal="center"/>
    </xf>
    <xf numFmtId="164" fontId="0" fillId="5" borderId="0" xfId="3" applyNumberFormat="1" applyFont="1" applyFill="1" applyProtection="1">
      <protection locked="0"/>
    </xf>
    <xf numFmtId="164" fontId="0" fillId="5" borderId="0" xfId="3" applyNumberFormat="1" applyFont="1" applyFill="1" applyBorder="1" applyProtection="1">
      <protection locked="0"/>
    </xf>
    <xf numFmtId="0" fontId="0" fillId="4" borderId="22" xfId="0" applyFill="1" applyBorder="1"/>
    <xf numFmtId="0" fontId="0" fillId="5" borderId="11" xfId="0" applyFill="1" applyBorder="1" applyAlignment="1">
      <alignment vertical="top" wrapText="1"/>
    </xf>
    <xf numFmtId="0" fontId="20" fillId="5" borderId="0" xfId="0" applyNumberFormat="1" applyFont="1" applyFill="1" applyBorder="1" applyAlignment="1" applyProtection="1">
      <alignment vertical="top" wrapText="1"/>
      <protection locked="0"/>
    </xf>
    <xf numFmtId="8" fontId="20" fillId="0" borderId="0" xfId="0" applyNumberFormat="1" applyFont="1" applyFill="1" applyBorder="1" applyAlignment="1" applyProtection="1">
      <alignment horizontal="right" wrapText="1"/>
    </xf>
    <xf numFmtId="0" fontId="0" fillId="5" borderId="0" xfId="0" applyFill="1" applyBorder="1" applyAlignment="1" applyProtection="1">
      <alignment vertical="top" wrapText="1"/>
      <protection locked="0"/>
    </xf>
    <xf numFmtId="0" fontId="2" fillId="4" borderId="24" xfId="0" applyFont="1" applyFill="1" applyBorder="1" applyAlignment="1">
      <alignment horizontal="left"/>
    </xf>
    <xf numFmtId="0" fontId="2" fillId="4" borderId="25" xfId="0" applyFont="1" applyFill="1" applyBorder="1" applyAlignment="1">
      <alignment horizontal="left"/>
    </xf>
    <xf numFmtId="0" fontId="30" fillId="4" borderId="0" xfId="0" applyFont="1" applyFill="1" applyAlignment="1">
      <alignment horizontal="center"/>
    </xf>
    <xf numFmtId="0" fontId="0" fillId="4" borderId="23" xfId="0" applyFill="1" applyBorder="1" applyAlignment="1">
      <alignment horizontal="left"/>
    </xf>
    <xf numFmtId="0" fontId="0" fillId="4" borderId="22" xfId="0" applyFill="1" applyBorder="1" applyAlignment="1">
      <alignment horizontal="left"/>
    </xf>
    <xf numFmtId="0" fontId="13" fillId="0" borderId="0" xfId="0" applyFont="1" applyAlignment="1" applyProtection="1">
      <alignment horizontal="left" wrapText="1"/>
    </xf>
    <xf numFmtId="0" fontId="0" fillId="0" borderId="0" xfId="0" applyAlignment="1" applyProtection="1">
      <alignment horizontal="left" wrapText="1"/>
    </xf>
    <xf numFmtId="0" fontId="0" fillId="0" borderId="0" xfId="0" applyAlignment="1">
      <alignment horizontal="center"/>
    </xf>
    <xf numFmtId="0" fontId="0" fillId="6" borderId="16"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5" fillId="0" borderId="0" xfId="0" applyFont="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2" fillId="0" borderId="3" xfId="0" applyFont="1" applyBorder="1" applyAlignment="1">
      <alignment horizontal="center" wrapText="1"/>
    </xf>
    <xf numFmtId="0" fontId="2" fillId="0" borderId="0" xfId="0" applyFont="1" applyBorder="1" applyAlignment="1">
      <alignment horizontal="center" wrapText="1"/>
    </xf>
    <xf numFmtId="0" fontId="29" fillId="0" borderId="0" xfId="0" applyFont="1" applyFill="1" applyBorder="1" applyAlignment="1" applyProtection="1">
      <alignment horizontal="left" wrapText="1"/>
      <protection locked="0"/>
    </xf>
    <xf numFmtId="0" fontId="2" fillId="0" borderId="0" xfId="0" applyFont="1" applyBorder="1" applyAlignment="1">
      <alignment horizontal="left"/>
    </xf>
    <xf numFmtId="0" fontId="2" fillId="0" borderId="3" xfId="0" applyFont="1" applyBorder="1" applyAlignment="1">
      <alignment horizontal="left"/>
    </xf>
    <xf numFmtId="0" fontId="2" fillId="0" borderId="0" xfId="0" applyFont="1" applyBorder="1" applyAlignment="1">
      <alignment horizontal="center"/>
    </xf>
    <xf numFmtId="0" fontId="2" fillId="0" borderId="3" xfId="0" applyFont="1" applyBorder="1" applyAlignment="1">
      <alignment horizontal="center"/>
    </xf>
    <xf numFmtId="0" fontId="5" fillId="0" borderId="0" xfId="0" applyFont="1" applyFill="1" applyAlignment="1">
      <alignment horizontal="center"/>
    </xf>
    <xf numFmtId="0" fontId="0" fillId="0" borderId="0" xfId="0" applyFill="1" applyAlignment="1">
      <alignment horizontal="center"/>
    </xf>
    <xf numFmtId="0" fontId="0" fillId="6" borderId="16" xfId="0" applyFill="1" applyBorder="1" applyAlignment="1">
      <alignment horizontal="center"/>
    </xf>
    <xf numFmtId="0" fontId="0" fillId="6" borderId="18" xfId="0" applyFill="1" applyBorder="1" applyAlignment="1">
      <alignment horizontal="center"/>
    </xf>
    <xf numFmtId="0" fontId="0" fillId="6" borderId="17" xfId="0" applyFill="1" applyBorder="1" applyAlignment="1">
      <alignment horizontal="center"/>
    </xf>
    <xf numFmtId="0" fontId="2" fillId="0" borderId="3"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left"/>
    </xf>
    <xf numFmtId="0" fontId="2" fillId="0" borderId="3" xfId="0" applyFont="1" applyFill="1" applyBorder="1" applyAlignment="1">
      <alignment horizontal="left"/>
    </xf>
    <xf numFmtId="0" fontId="2" fillId="0" borderId="0" xfId="0" applyFont="1" applyFill="1" applyBorder="1" applyAlignment="1">
      <alignment horizontal="center"/>
    </xf>
    <xf numFmtId="0" fontId="2" fillId="0" borderId="3" xfId="0" applyFont="1" applyFill="1" applyBorder="1" applyAlignment="1">
      <alignment horizontal="center"/>
    </xf>
    <xf numFmtId="2" fontId="28" fillId="0" borderId="0" xfId="0" applyNumberFormat="1" applyFont="1" applyFill="1" applyBorder="1" applyAlignment="1" applyProtection="1">
      <alignment horizontal="left" wrapText="1"/>
      <protection locked="0"/>
    </xf>
  </cellXfs>
  <cellStyles count="5">
    <cellStyle name="Comma" xfId="3" builtinId="3"/>
    <cellStyle name="Currency" xfId="1" builtinId="4"/>
    <cellStyle name="Hyperlink" xfId="4" builtinId="8"/>
    <cellStyle name="Normal" xfId="0" builtinId="0"/>
    <cellStyle name="Percent" xfId="2" builtinId="5"/>
  </cellStyles>
  <dxfs count="93">
    <dxf>
      <font>
        <b val="0"/>
        <i val="0"/>
        <strike val="0"/>
        <condense val="0"/>
        <extend val="0"/>
        <outline val="0"/>
        <shadow val="0"/>
        <u val="none"/>
        <vertAlign val="baseline"/>
        <sz val="9"/>
        <color theme="1"/>
        <name val="Arial"/>
        <scheme val="none"/>
      </font>
      <numFmt numFmtId="12" formatCode="&quot;$&quot;#,##0.00_);[Red]\(&quot;$&quot;#,##0.00\)"/>
      <fill>
        <patternFill patternType="none">
          <fgColor indexed="64"/>
          <bgColor indexed="65"/>
        </patternFill>
      </fill>
      <alignment horizontal="right" vertical="bottom"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9"/>
        <color theme="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numFmt numFmtId="2" formatCode="0.00"/>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sz val="10"/>
        <color theme="1"/>
        <name val="Arial"/>
        <scheme val="none"/>
      </font>
      <fill>
        <patternFill patternType="solid">
          <fgColor indexed="64"/>
          <bgColor rgb="FFFFFF99"/>
        </patternFill>
      </fill>
      <protection locked="0" hidden="0"/>
    </dxf>
    <dxf>
      <border outline="0">
        <right style="thin">
          <color theme="4" tint="0.39997558519241921"/>
        </right>
      </border>
    </dxf>
    <dxf>
      <font>
        <strike val="0"/>
        <outline val="0"/>
        <shadow val="0"/>
        <u val="none"/>
        <color theme="1"/>
        <name val="Arial"/>
        <scheme val="none"/>
      </font>
      <fill>
        <patternFill patternType="none">
          <fgColor indexed="64"/>
          <bgColor indexed="65"/>
        </patternFill>
      </fill>
      <alignment textRotation="0"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relative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9"/>
        <color rgb="FFFF0000"/>
        <name val="Arial"/>
        <scheme val="none"/>
      </font>
      <fill>
        <patternFill patternType="solid">
          <fgColor indexed="64"/>
          <bgColor rgb="FFFFFF99"/>
        </patternFill>
      </fill>
      <alignment horizontal="center" vertical="top" textRotation="0" wrapText="1" relativeIndent="0" justifyLastLine="0" shrinkToFit="0" readingOrder="0"/>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top" textRotation="0" wrapText="1"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rgb="FFFFFF00"/>
        <name val="Arial"/>
        <scheme val="none"/>
      </font>
      <fill>
        <patternFill patternType="none">
          <fgColor indexed="64"/>
          <bgColor indexed="65"/>
        </patternFill>
      </fill>
      <alignment horizontal="center" vertical="top" textRotation="0" wrapText="1" indent="0" justifyLastLine="0" shrinkToFit="0" readingOrder="0"/>
      <protection locked="1" hidden="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relativeIndent="0" justifyLastLine="0" shrinkToFit="0" readingOrder="0"/>
      <protection locked="1" hidden="0"/>
    </dxf>
    <dxf>
      <font>
        <strike val="0"/>
        <outline val="0"/>
        <shadow val="0"/>
        <u val="none"/>
        <vertAlign val="baseline"/>
        <color rgb="FFFFFF00"/>
      </font>
      <alignment vertical="top" textRotation="0" 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relativeIndent="0" justifyLastLine="0" shrinkToFit="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numFmt numFmtId="164" formatCode="_(* #,##0_);_(* \(#,##0\);_(* &quot;-&quot;??_);_(@_)"/>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'Depreciation Graph'!$M$1</c:f>
              <c:strCache>
                <c:ptCount val="1"/>
                <c:pt idx="0">
                  <c:v>Combines</c:v>
                </c:pt>
              </c:strCache>
            </c:strRef>
          </c:tx>
          <c:marker>
            <c:symbol val="none"/>
          </c:marker>
          <c:val>
            <c:numRef>
              <c:f>'Depreciation Graph'!$M$2:$M$21</c:f>
              <c:numCache>
                <c:formatCode>General</c:formatCode>
                <c:ptCount val="20"/>
                <c:pt idx="0">
                  <c:v>0.93508899999999973</c:v>
                </c:pt>
                <c:pt idx="1">
                  <c:v>0.80758038163990642</c:v>
                </c:pt>
                <c:pt idx="2">
                  <c:v>0.71607410032456997</c:v>
                </c:pt>
                <c:pt idx="3">
                  <c:v>0.64320399999999966</c:v>
                </c:pt>
                <c:pt idx="4">
                  <c:v>0.58224344632517844</c:v>
                </c:pt>
                <c:pt idx="5">
                  <c:v>0.52974261168591585</c:v>
                </c:pt>
                <c:pt idx="6">
                  <c:v>0.48365214023871145</c:v>
                </c:pt>
                <c:pt idx="7">
                  <c:v>0.44263676327981305</c:v>
                </c:pt>
                <c:pt idx="8">
                  <c:v>0.40576899999999988</c:v>
                </c:pt>
                <c:pt idx="9">
                  <c:v>0.37237355726750004</c:v>
                </c:pt>
                <c:pt idx="10">
                  <c:v>0.34194064331483676</c:v>
                </c:pt>
                <c:pt idx="11">
                  <c:v>0.31407420064914032</c:v>
                </c:pt>
                <c:pt idx="12">
                  <c:v>0.28845926553767204</c:v>
                </c:pt>
                <c:pt idx="13">
                  <c:v>0.26484046659672628</c:v>
                </c:pt>
                <c:pt idx="14">
                  <c:v>0.2430073411907572</c:v>
                </c:pt>
                <c:pt idx="15">
                  <c:v>0.22278399999999987</c:v>
                </c:pt>
                <c:pt idx="16">
                  <c:v>0.20402166249426656</c:v>
                </c:pt>
                <c:pt idx="17">
                  <c:v>0.18659314491971973</c:v>
                </c:pt>
                <c:pt idx="18">
                  <c:v>0.17038871065094577</c:v>
                </c:pt>
                <c:pt idx="19">
                  <c:v>0.15531289265035694</c:v>
                </c:pt>
              </c:numCache>
            </c:numRef>
          </c:val>
          <c:smooth val="0"/>
        </c:ser>
        <c:ser>
          <c:idx val="1"/>
          <c:order val="1"/>
          <c:tx>
            <c:strRef>
              <c:f>'Depreciation Graph'!$N$1</c:f>
              <c:strCache>
                <c:ptCount val="1"/>
                <c:pt idx="0">
                  <c:v>Mowers</c:v>
                </c:pt>
              </c:strCache>
            </c:strRef>
          </c:tx>
          <c:marker>
            <c:symbol val="none"/>
          </c:marker>
          <c:val>
            <c:numRef>
              <c:f>'Depreciation Graph'!$N$2:$N$21</c:f>
              <c:numCache>
                <c:formatCode>General</c:formatCode>
                <c:ptCount val="20"/>
                <c:pt idx="0">
                  <c:v>0.47472100000000006</c:v>
                </c:pt>
                <c:pt idx="1">
                  <c:v>0.43724850927735592</c:v>
                </c:pt>
                <c:pt idx="2">
                  <c:v>0.40953932499004247</c:v>
                </c:pt>
                <c:pt idx="3">
                  <c:v>0.38688400000000001</c:v>
                </c:pt>
                <c:pt idx="4">
                  <c:v>0.36745836960736133</c:v>
                </c:pt>
                <c:pt idx="5">
                  <c:v>0.35032689109709297</c:v>
                </c:pt>
                <c:pt idx="6">
                  <c:v>0.33493380918391269</c:v>
                </c:pt>
                <c:pt idx="7">
                  <c:v>0.320917018554712</c:v>
                </c:pt>
                <c:pt idx="8">
                  <c:v>0.30802499999999994</c:v>
                </c:pt>
                <c:pt idx="9">
                  <c:v>0.2960746239143025</c:v>
                </c:pt>
                <c:pt idx="10">
                  <c:v>0.28492764223783656</c:v>
                </c:pt>
                <c:pt idx="11">
                  <c:v>0.27447664998008492</c:v>
                </c:pt>
                <c:pt idx="12">
                  <c:v>0.26463623359039606</c:v>
                </c:pt>
                <c:pt idx="13">
                  <c:v>0.25533714009025266</c:v>
                </c:pt>
                <c:pt idx="14">
                  <c:v>0.24652229509580381</c:v>
                </c:pt>
                <c:pt idx="15">
                  <c:v>0.23814399999999999</c:v>
                </c:pt>
                <c:pt idx="16">
                  <c:v>0.23016190770242853</c:v>
                </c:pt>
                <c:pt idx="17">
                  <c:v>0.22254152783206796</c:v>
                </c:pt>
                <c:pt idx="18">
                  <c:v>0.21525310142355558</c:v>
                </c:pt>
                <c:pt idx="19">
                  <c:v>0.20827073921472258</c:v>
                </c:pt>
              </c:numCache>
            </c:numRef>
          </c:val>
          <c:smooth val="0"/>
        </c:ser>
        <c:ser>
          <c:idx val="2"/>
          <c:order val="2"/>
          <c:tx>
            <c:strRef>
              <c:f>'Depreciation Graph'!$O$1</c:f>
              <c:strCache>
                <c:ptCount val="1"/>
                <c:pt idx="0">
                  <c:v>Balers</c:v>
                </c:pt>
              </c:strCache>
            </c:strRef>
          </c:tx>
          <c:marker>
            <c:symbol val="none"/>
          </c:marker>
          <c:val>
            <c:numRef>
              <c:f>'Depreciation Graph'!$O$2:$O$21</c:f>
              <c:numCache>
                <c:formatCode>General</c:formatCode>
                <c:ptCount val="20"/>
                <c:pt idx="0">
                  <c:v>0.56400099999999997</c:v>
                </c:pt>
                <c:pt idx="1">
                  <c:v>0.50291418906134078</c:v>
                </c:pt>
                <c:pt idx="2">
                  <c:v>0.45841412781416585</c:v>
                </c:pt>
                <c:pt idx="3">
                  <c:v>0.42249999999999988</c:v>
                </c:pt>
                <c:pt idx="4">
                  <c:v>0.39207275680037612</c:v>
                </c:pt>
                <c:pt idx="5">
                  <c:v>0.36554301730804389</c:v>
                </c:pt>
                <c:pt idx="6">
                  <c:v>0.34196661636053971</c:v>
                </c:pt>
                <c:pt idx="7">
                  <c:v>0.32072837812268157</c:v>
                </c:pt>
                <c:pt idx="8">
                  <c:v>0.30140099999999992</c:v>
                </c:pt>
                <c:pt idx="9">
                  <c:v>0.28367336557438111</c:v>
                </c:pt>
                <c:pt idx="10">
                  <c:v>0.26731060708067417</c:v>
                </c:pt>
                <c:pt idx="11">
                  <c:v>0.25213025562833186</c:v>
                </c:pt>
                <c:pt idx="12">
                  <c:v>0.23798720328754555</c:v>
                </c:pt>
                <c:pt idx="13">
                  <c:v>0.22476379710665753</c:v>
                </c:pt>
                <c:pt idx="14">
                  <c:v>0.21236307418431866</c:v>
                </c:pt>
                <c:pt idx="15">
                  <c:v>0.20070399999999997</c:v>
                </c:pt>
                <c:pt idx="16">
                  <c:v>0.18971802940869809</c:v>
                </c:pt>
                <c:pt idx="17">
                  <c:v>0.17934656718402256</c:v>
                </c:pt>
                <c:pt idx="18">
                  <c:v>0.16953905622087587</c:v>
                </c:pt>
                <c:pt idx="19">
                  <c:v>0.16025151360075235</c:v>
                </c:pt>
              </c:numCache>
            </c:numRef>
          </c:val>
          <c:smooth val="0"/>
        </c:ser>
        <c:ser>
          <c:idx val="3"/>
          <c:order val="3"/>
          <c:tx>
            <c:strRef>
              <c:f>'Depreciation Graph'!$P$1</c:f>
              <c:strCache>
                <c:ptCount val="1"/>
                <c:pt idx="0">
                  <c:v>Harvest Other</c:v>
                </c:pt>
              </c:strCache>
            </c:strRef>
          </c:tx>
          <c:marker>
            <c:symbol val="none"/>
          </c:marker>
          <c:val>
            <c:numRef>
              <c:f>'Depreciation Graph'!$P$2:$P$21</c:f>
              <c:numCache>
                <c:formatCode>General</c:formatCode>
                <c:ptCount val="20"/>
                <c:pt idx="0">
                  <c:v>0.4900000000000001</c:v>
                </c:pt>
                <c:pt idx="1">
                  <c:v>0.4386499871336445</c:v>
                </c:pt>
                <c:pt idx="2">
                  <c:v>0.40117450164076934</c:v>
                </c:pt>
                <c:pt idx="3">
                  <c:v>0.37088099999999996</c:v>
                </c:pt>
                <c:pt idx="4">
                  <c:v>0.34517718182317542</c:v>
                </c:pt>
                <c:pt idx="5">
                  <c:v>0.32273355764944822</c:v>
                </c:pt>
                <c:pt idx="6">
                  <c:v>0.3027603497565195</c:v>
                </c:pt>
                <c:pt idx="7">
                  <c:v>0.28474297426728906</c:v>
                </c:pt>
                <c:pt idx="8">
                  <c:v>0.26832400000000001</c:v>
                </c:pt>
                <c:pt idx="9">
                  <c:v>0.25324318348683983</c:v>
                </c:pt>
                <c:pt idx="10">
                  <c:v>0.23930406193085599</c:v>
                </c:pt>
                <c:pt idx="11">
                  <c:v>0.22635400328153865</c:v>
                </c:pt>
                <c:pt idx="12">
                  <c:v>0.21427162728165322</c:v>
                </c:pt>
                <c:pt idx="13">
                  <c:v>0.20295851928524988</c:v>
                </c:pt>
                <c:pt idx="14">
                  <c:v>0.19233357151328787</c:v>
                </c:pt>
                <c:pt idx="15">
                  <c:v>0.18232900000000005</c:v>
                </c:pt>
                <c:pt idx="16">
                  <c:v>0.17288746792483037</c:v>
                </c:pt>
                <c:pt idx="17">
                  <c:v>0.16395996140093352</c:v>
                </c:pt>
                <c:pt idx="18">
                  <c:v>0.15550419028999754</c:v>
                </c:pt>
                <c:pt idx="19">
                  <c:v>0.14748336364635059</c:v>
                </c:pt>
              </c:numCache>
            </c:numRef>
          </c:val>
          <c:smooth val="0"/>
        </c:ser>
        <c:ser>
          <c:idx val="4"/>
          <c:order val="4"/>
          <c:tx>
            <c:strRef>
              <c:f>'Depreciation Graph'!$Q$1</c:f>
              <c:strCache>
                <c:ptCount val="1"/>
                <c:pt idx="0">
                  <c:v>Plows</c:v>
                </c:pt>
              </c:strCache>
            </c:strRef>
          </c:tx>
          <c:marker>
            <c:symbol val="none"/>
          </c:marker>
          <c:val>
            <c:numRef>
              <c:f>'Depreciation Graph'!$Q$2:$Q$21</c:f>
              <c:numCache>
                <c:formatCode>General</c:formatCode>
                <c:ptCount val="20"/>
                <c:pt idx="0">
                  <c:v>0.47196899999999992</c:v>
                </c:pt>
                <c:pt idx="1">
                  <c:v>0.44338965987880286</c:v>
                </c:pt>
                <c:pt idx="2">
                  <c:v>0.42206514340944518</c:v>
                </c:pt>
                <c:pt idx="3">
                  <c:v>0.40449600000000002</c:v>
                </c:pt>
                <c:pt idx="4">
                  <c:v>0.38932674692572572</c:v>
                </c:pt>
                <c:pt idx="5">
                  <c:v>0.3758622101222534</c:v>
                </c:pt>
                <c:pt idx="6">
                  <c:v>0.36368942430830187</c:v>
                </c:pt>
                <c:pt idx="7">
                  <c:v>0.35253931975760572</c:v>
                </c:pt>
                <c:pt idx="8">
                  <c:v>0.34222499999999995</c:v>
                </c:pt>
                <c:pt idx="9">
                  <c:v>0.33261038685316513</c:v>
                </c:pt>
                <c:pt idx="10">
                  <c:v>0.32359275228120699</c:v>
                </c:pt>
                <c:pt idx="11">
                  <c:v>0.3150922868188904</c:v>
                </c:pt>
                <c:pt idx="12">
                  <c:v>0.30704552218817283</c:v>
                </c:pt>
                <c:pt idx="13">
                  <c:v>0.29940099855320479</c:v>
                </c:pt>
                <c:pt idx="14">
                  <c:v>0.29211630563089042</c:v>
                </c:pt>
                <c:pt idx="15">
                  <c:v>0.28515600000000002</c:v>
                </c:pt>
                <c:pt idx="16">
                  <c:v>0.27849010092600496</c:v>
                </c:pt>
                <c:pt idx="17">
                  <c:v>0.27209297963640872</c:v>
                </c:pt>
                <c:pt idx="18">
                  <c:v>0.26594252312603217</c:v>
                </c:pt>
                <c:pt idx="19">
                  <c:v>0.26001949385145162</c:v>
                </c:pt>
              </c:numCache>
            </c:numRef>
          </c:val>
          <c:smooth val="0"/>
        </c:ser>
        <c:ser>
          <c:idx val="5"/>
          <c:order val="5"/>
          <c:tx>
            <c:strRef>
              <c:f>'Depreciation Graph'!$R$1</c:f>
              <c:strCache>
                <c:ptCount val="1"/>
                <c:pt idx="0">
                  <c:v>Tillage Other</c:v>
                </c:pt>
              </c:strCache>
            </c:strRef>
          </c:tx>
          <c:marker>
            <c:symbol val="none"/>
          </c:marker>
          <c:val>
            <c:numRef>
              <c:f>'Depreciation Graph'!$R$2:$R$21</c:f>
              <c:numCache>
                <c:formatCode>General</c:formatCode>
                <c:ptCount val="20"/>
                <c:pt idx="0">
                  <c:v>0.60996100000000009</c:v>
                </c:pt>
                <c:pt idx="1">
                  <c:v>0.54086685750362595</c:v>
                </c:pt>
                <c:pt idx="2">
                  <c:v>0.49066440070034867</c:v>
                </c:pt>
                <c:pt idx="3">
                  <c:v>0.45024100000000006</c:v>
                </c:pt>
                <c:pt idx="4">
                  <c:v>0.41606695505049113</c:v>
                </c:pt>
                <c:pt idx="5">
                  <c:v>0.38633202061964145</c:v>
                </c:pt>
                <c:pt idx="6">
                  <c:v>0.35996082800511897</c:v>
                </c:pt>
                <c:pt idx="7">
                  <c:v>0.33625271500725185</c:v>
                </c:pt>
                <c:pt idx="8">
                  <c:v>0.31472099999999992</c:v>
                </c:pt>
                <c:pt idx="9">
                  <c:v>0.29501133305379423</c:v>
                </c:pt>
                <c:pt idx="10">
                  <c:v>0.27685620859453458</c:v>
                </c:pt>
                <c:pt idx="11">
                  <c:v>0.26004780140069728</c:v>
                </c:pt>
                <c:pt idx="12">
                  <c:v>0.24442083898354883</c:v>
                </c:pt>
                <c:pt idx="13">
                  <c:v>0.22984131904457203</c:v>
                </c:pt>
                <c:pt idx="14">
                  <c:v>0.21619880447642217</c:v>
                </c:pt>
                <c:pt idx="15">
                  <c:v>0.203401</c:v>
                </c:pt>
                <c:pt idx="16">
                  <c:v>0.19136983526642617</c:v>
                </c:pt>
                <c:pt idx="17">
                  <c:v>0.18003857251087776</c:v>
                </c:pt>
                <c:pt idx="18">
                  <c:v>0.16934962908715717</c:v>
                </c:pt>
                <c:pt idx="19">
                  <c:v>0.15925291010098244</c:v>
                </c:pt>
              </c:numCache>
            </c:numRef>
          </c:val>
          <c:smooth val="0"/>
        </c:ser>
        <c:ser>
          <c:idx val="6"/>
          <c:order val="6"/>
          <c:tx>
            <c:strRef>
              <c:f>'Depreciation Graph'!$S$1</c:f>
              <c:strCache>
                <c:ptCount val="1"/>
                <c:pt idx="0">
                  <c:v>Vehicles</c:v>
                </c:pt>
              </c:strCache>
            </c:strRef>
          </c:tx>
          <c:marker>
            <c:symbol val="none"/>
          </c:marker>
          <c:val>
            <c:numRef>
              <c:f>'Depreciation Graph'!$S$2:$S$21</c:f>
              <c:numCache>
                <c:formatCode>General</c:formatCode>
                <c:ptCount val="20"/>
                <c:pt idx="0">
                  <c:v>0.52272900000000011</c:v>
                </c:pt>
                <c:pt idx="1">
                  <c:v>0.48567594563681826</c:v>
                </c:pt>
                <c:pt idx="2">
                  <c:v>0.45816761622160873</c:v>
                </c:pt>
                <c:pt idx="3">
                  <c:v>0.43560000000000004</c:v>
                </c:pt>
                <c:pt idx="4">
                  <c:v>0.4161897717803309</c:v>
                </c:pt>
                <c:pt idx="5">
                  <c:v>0.39902233383372521</c:v>
                </c:pt>
                <c:pt idx="6">
                  <c:v>0.38355437315740726</c:v>
                </c:pt>
                <c:pt idx="7">
                  <c:v>0.36943189127363629</c:v>
                </c:pt>
                <c:pt idx="8">
                  <c:v>0.35640899999999998</c:v>
                </c:pt>
                <c:pt idx="9">
                  <c:v>0.3443066696475644</c:v>
                </c:pt>
                <c:pt idx="10">
                  <c:v>0.33298974726236269</c:v>
                </c:pt>
                <c:pt idx="11">
                  <c:v>0.32235323244321745</c:v>
                </c:pt>
                <c:pt idx="12">
                  <c:v>0.31231362388314837</c:v>
                </c:pt>
                <c:pt idx="13">
                  <c:v>0.30280321904345592</c:v>
                </c:pt>
                <c:pt idx="14">
                  <c:v>0.29376622132500235</c:v>
                </c:pt>
                <c:pt idx="15">
                  <c:v>0.28515600000000002</c:v>
                </c:pt>
                <c:pt idx="16">
                  <c:v>0.27693311126132947</c:v>
                </c:pt>
                <c:pt idx="17">
                  <c:v>0.26906383691045449</c:v>
                </c:pt>
                <c:pt idx="18">
                  <c:v>0.26151908422750586</c:v>
                </c:pt>
                <c:pt idx="19">
                  <c:v>0.25427354356066173</c:v>
                </c:pt>
              </c:numCache>
            </c:numRef>
          </c:val>
          <c:smooth val="0"/>
        </c:ser>
        <c:ser>
          <c:idx val="7"/>
          <c:order val="7"/>
          <c:tx>
            <c:strRef>
              <c:f>'Depreciation Graph'!$T$1</c:f>
              <c:strCache>
                <c:ptCount val="1"/>
                <c:pt idx="0">
                  <c:v>Planters</c:v>
                </c:pt>
              </c:strCache>
            </c:strRef>
          </c:tx>
          <c:marker>
            <c:symbol val="none"/>
          </c:marker>
          <c:val>
            <c:numRef>
              <c:f>'Depreciation Graph'!$T$2:$T$21</c:f>
              <c:numCache>
                <c:formatCode>General</c:formatCode>
                <c:ptCount val="20"/>
                <c:pt idx="0">
                  <c:v>0.64802500000000007</c:v>
                </c:pt>
                <c:pt idx="1">
                  <c:v>0.59705191021023085</c:v>
                </c:pt>
                <c:pt idx="2">
                  <c:v>0.55935446535900235</c:v>
                </c:pt>
                <c:pt idx="3">
                  <c:v>0.52852899999999992</c:v>
                </c:pt>
                <c:pt idx="4">
                  <c:v>0.50209510823535897</c:v>
                </c:pt>
                <c:pt idx="5">
                  <c:v>0.47878068691110282</c:v>
                </c:pt>
                <c:pt idx="6">
                  <c:v>0.45783004840347474</c:v>
                </c:pt>
                <c:pt idx="7">
                  <c:v>0.43875082042046182</c:v>
                </c:pt>
                <c:pt idx="8">
                  <c:v>0.42120100000000005</c:v>
                </c:pt>
                <c:pt idx="9">
                  <c:v>0.40493157686712605</c:v>
                </c:pt>
                <c:pt idx="10">
                  <c:v>0.38975456837812444</c:v>
                </c:pt>
                <c:pt idx="11">
                  <c:v>0.37552393071800461</c:v>
                </c:pt>
                <c:pt idx="12">
                  <c:v>0.36212352290738653</c:v>
                </c:pt>
                <c:pt idx="13">
                  <c:v>0.34945917828666312</c:v>
                </c:pt>
                <c:pt idx="14">
                  <c:v>0.33745329002662078</c:v>
                </c:pt>
                <c:pt idx="15">
                  <c:v>0.32604099999999997</c:v>
                </c:pt>
                <c:pt idx="16">
                  <c:v>0.3151674462824185</c:v>
                </c:pt>
                <c:pt idx="17">
                  <c:v>0.30478573063069264</c:v>
                </c:pt>
                <c:pt idx="18">
                  <c:v>0.29485538832515923</c:v>
                </c:pt>
                <c:pt idx="19">
                  <c:v>0.28534121647071786</c:v>
                </c:pt>
              </c:numCache>
            </c:numRef>
          </c:val>
          <c:smooth val="0"/>
        </c:ser>
        <c:ser>
          <c:idx val="8"/>
          <c:order val="8"/>
          <c:tx>
            <c:strRef>
              <c:f>'Depreciation Graph'!$U$1</c:f>
              <c:strCache>
                <c:ptCount val="1"/>
                <c:pt idx="0">
                  <c:v>Misc</c:v>
                </c:pt>
              </c:strCache>
            </c:strRef>
          </c:tx>
          <c:marker>
            <c:symbol val="none"/>
          </c:marker>
          <c:val>
            <c:numRef>
              <c:f>'Depreciation Graph'!$U$2:$U$21</c:f>
              <c:numCache>
                <c:formatCode>General</c:formatCode>
                <c:ptCount val="20"/>
                <c:pt idx="0">
                  <c:v>0.69222399999999995</c:v>
                </c:pt>
                <c:pt idx="1">
                  <c:v>0.61783104757144203</c:v>
                </c:pt>
                <c:pt idx="2">
                  <c:v>0.56361409163868581</c:v>
                </c:pt>
                <c:pt idx="3">
                  <c:v>0.519841</c:v>
                </c:pt>
                <c:pt idx="4">
                  <c:v>0.4827421131823289</c:v>
                </c:pt>
                <c:pt idx="5">
                  <c:v>0.45038412030731279</c:v>
                </c:pt>
                <c:pt idx="6">
                  <c:v>0.42161854603387217</c:v>
                </c:pt>
                <c:pt idx="7">
                  <c:v>0.39569709514288404</c:v>
                </c:pt>
                <c:pt idx="8">
                  <c:v>0.37209999999999988</c:v>
                </c:pt>
                <c:pt idx="9">
                  <c:v>0.35044882095439045</c:v>
                </c:pt>
                <c:pt idx="10">
                  <c:v>0.33045786663825838</c:v>
                </c:pt>
                <c:pt idx="11">
                  <c:v>0.3119051832773716</c:v>
                </c:pt>
                <c:pt idx="12">
                  <c:v>0.29461426268671564</c:v>
                </c:pt>
                <c:pt idx="13">
                  <c:v>0.27844199270842246</c:v>
                </c:pt>
                <c:pt idx="14">
                  <c:v>0.26327042840486203</c:v>
                </c:pt>
                <c:pt idx="15">
                  <c:v>0.24900099999999994</c:v>
                </c:pt>
                <c:pt idx="16">
                  <c:v>0.23555032969944517</c:v>
                </c:pt>
                <c:pt idx="17">
                  <c:v>0.22284714271432615</c:v>
                </c:pt>
                <c:pt idx="18">
                  <c:v>0.21082994176553407</c:v>
                </c:pt>
                <c:pt idx="19">
                  <c:v>0.19944522636465797</c:v>
                </c:pt>
              </c:numCache>
            </c:numRef>
          </c:val>
          <c:smooth val="0"/>
        </c:ser>
        <c:dLbls>
          <c:showLegendKey val="0"/>
          <c:showVal val="0"/>
          <c:showCatName val="0"/>
          <c:showSerName val="0"/>
          <c:showPercent val="0"/>
          <c:showBubbleSize val="0"/>
        </c:dLbls>
        <c:smooth val="0"/>
        <c:axId val="500625096"/>
        <c:axId val="500625488"/>
      </c:lineChart>
      <c:catAx>
        <c:axId val="500625096"/>
        <c:scaling>
          <c:orientation val="minMax"/>
        </c:scaling>
        <c:delete val="0"/>
        <c:axPos val="b"/>
        <c:majorTickMark val="out"/>
        <c:minorTickMark val="none"/>
        <c:tickLblPos val="nextTo"/>
        <c:crossAx val="500625488"/>
        <c:crosses val="autoZero"/>
        <c:auto val="1"/>
        <c:lblAlgn val="ctr"/>
        <c:lblOffset val="100"/>
        <c:noMultiLvlLbl val="0"/>
      </c:catAx>
      <c:valAx>
        <c:axId val="500625488"/>
        <c:scaling>
          <c:orientation val="minMax"/>
        </c:scaling>
        <c:delete val="0"/>
        <c:axPos val="l"/>
        <c:majorGridlines/>
        <c:numFmt formatCode="General" sourceLinked="1"/>
        <c:majorTickMark val="out"/>
        <c:minorTickMark val="none"/>
        <c:tickLblPos val="nextTo"/>
        <c:crossAx val="500625096"/>
        <c:crosses val="autoZero"/>
        <c:crossBetween val="between"/>
      </c:valAx>
    </c:plotArea>
    <c:legend>
      <c:legendPos val="r"/>
      <c:overlay val="0"/>
    </c:legend>
    <c:plotVisOnly val="1"/>
    <c:dispBlanksAs val="gap"/>
    <c:showDLblsOverMax val="0"/>
  </c:chart>
  <c:printSettings>
    <c:headerFooter/>
    <c:pageMargins b="0.75000000000001021" l="0.70000000000000062" r="0.70000000000000062" t="0.7500000000000102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2015 Nebraska Crop Budgets</a:t>
          </a:r>
        </a:p>
      </xdr:txBody>
    </xdr:sp>
    <xdr:clientData/>
  </xdr:oneCellAnchor>
  <xdr:oneCellAnchor>
    <xdr:from>
      <xdr:col>0</xdr:col>
      <xdr:colOff>9526</xdr:colOff>
      <xdr:row>18</xdr:row>
      <xdr:rowOff>0</xdr:rowOff>
    </xdr:from>
    <xdr:ext cx="9391650" cy="771525"/>
    <xdr:sp macro="" textlink="">
      <xdr:nvSpPr>
        <xdr:cNvPr id="3" name="Rectangle 2"/>
        <xdr:cNvSpPr/>
      </xdr:nvSpPr>
      <xdr:spPr>
        <a:xfrm>
          <a:off x="9526" y="2914650"/>
          <a:ext cx="9391650" cy="771525"/>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Western Nebraska Crop Specialist</a:t>
          </a:r>
        </a:p>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r>
            <a:rPr lang="en-US" sz="2000" b="1" cap="none" spc="0">
              <a:ln w="10541" cmpd="sng">
                <a:solidFill>
                  <a:schemeClr val="accent1">
                    <a:shade val="88000"/>
                    <a:satMod val="110000"/>
                  </a:schemeClr>
                </a:solidFill>
                <a:prstDash val="solid"/>
              </a:ln>
              <a:solidFill>
                <a:schemeClr val="tx1"/>
              </a:solidFill>
              <a:effectLst/>
            </a:rPr>
            <a:t>Jessica Johnson, Extension</a:t>
          </a:r>
          <a:r>
            <a:rPr lang="en-US" sz="2000" b="1" cap="none" spc="0" baseline="0">
              <a:ln w="10541" cmpd="sng">
                <a:solidFill>
                  <a:schemeClr val="accent1">
                    <a:shade val="88000"/>
                    <a:satMod val="110000"/>
                  </a:schemeClr>
                </a:solidFill>
                <a:prstDash val="solid"/>
              </a:ln>
              <a:solidFill>
                <a:schemeClr val="tx1"/>
              </a:solidFill>
              <a:effectLst/>
            </a:rPr>
            <a:t> Educator - Ag Economics</a:t>
          </a:r>
          <a:endParaRPr lang="en-US" sz="2000" b="1" cap="none" spc="0">
            <a:ln w="10541" cmpd="sng">
              <a:solidFill>
                <a:schemeClr val="accent1">
                  <a:shade val="88000"/>
                  <a:satMod val="110000"/>
                </a:schemeClr>
              </a:solidFill>
              <a:prstDash val="solid"/>
            </a:ln>
            <a:solidFill>
              <a:schemeClr val="tx1"/>
            </a:solidFill>
            <a:effectLst/>
          </a:endParaRP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25</xdr:row>
      <xdr:rowOff>19051</xdr:rowOff>
    </xdr:from>
    <xdr:to>
      <xdr:col>14</xdr:col>
      <xdr:colOff>352425</xdr:colOff>
      <xdr:row>34</xdr:row>
      <xdr:rowOff>133350</xdr:rowOff>
    </xdr:to>
    <xdr:sp macro="" textlink="">
      <xdr:nvSpPr>
        <xdr:cNvPr id="4" name="Rounded Rectangle 3"/>
        <xdr:cNvSpPr/>
      </xdr:nvSpPr>
      <xdr:spPr>
        <a:xfrm>
          <a:off x="1104900" y="4067176"/>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xdr:from>
      <xdr:col>2</xdr:col>
      <xdr:colOff>552450</xdr:colOff>
      <xdr:row>47</xdr:row>
      <xdr:rowOff>76199</xdr:rowOff>
    </xdr:from>
    <xdr:to>
      <xdr:col>14</xdr:col>
      <xdr:colOff>219075</xdr:colOff>
      <xdr:row>58</xdr:row>
      <xdr:rowOff>123825</xdr:rowOff>
    </xdr:to>
    <xdr:sp macro="" textlink="">
      <xdr:nvSpPr>
        <xdr:cNvPr id="6" name="TextBox 5"/>
        <xdr:cNvSpPr txBox="1"/>
      </xdr:nvSpPr>
      <xdr:spPr>
        <a:xfrm>
          <a:off x="1771650" y="7686674"/>
          <a:ext cx="6981825" cy="1828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–Lincoln cooperating with the Counties and the United States Department of Agriculture. University of Nebraska – Lincoln Extension programs abide with the nondiscrimination policies of the University of Nebraska –Lincoln and the United States Department of Agriculture.</a:t>
          </a:r>
        </a:p>
        <a:p>
          <a:endParaRPr lang="en-US" sz="1100" baseline="0"/>
        </a:p>
        <a:p>
          <a:r>
            <a:rPr lang="en-US" sz="1100" baseline="0"/>
            <a:t>University of Nebraska-Lincoln Extension educational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2014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twoCellAnchor editAs="oneCell">
    <xdr:from>
      <xdr:col>0</xdr:col>
      <xdr:colOff>600076</xdr:colOff>
      <xdr:row>52</xdr:row>
      <xdr:rowOff>51217</xdr:rowOff>
    </xdr:from>
    <xdr:to>
      <xdr:col>2</xdr:col>
      <xdr:colOff>190500</xdr:colOff>
      <xdr:row>58</xdr:row>
      <xdr:rowOff>53559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6" y="8471317"/>
          <a:ext cx="809624" cy="9738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600075</xdr:colOff>
      <xdr:row>13</xdr:row>
      <xdr:rowOff>114301</xdr:rowOff>
    </xdr:from>
    <xdr:to>
      <xdr:col>6</xdr:col>
      <xdr:colOff>381000</xdr:colOff>
      <xdr:row>21</xdr:row>
      <xdr:rowOff>9525</xdr:rowOff>
    </xdr:to>
    <xdr:sp macro="" textlink="">
      <xdr:nvSpPr>
        <xdr:cNvPr id="2" name="TextBox 1"/>
        <xdr:cNvSpPr txBox="1"/>
      </xdr:nvSpPr>
      <xdr:spPr>
        <a:xfrm>
          <a:off x="3438525" y="2552701"/>
          <a:ext cx="2190750" cy="11906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2012-2013" publication (June 2013) which is available at http://agecon.unl.edu/realestate.html</a:t>
          </a:r>
        </a:p>
      </xdr:txBody>
    </xdr:sp>
    <xdr:clientData/>
  </xdr:twoCellAnchor>
  <xdr:twoCellAnchor>
    <xdr:from>
      <xdr:col>0</xdr:col>
      <xdr:colOff>9525</xdr:colOff>
      <xdr:row>33</xdr:row>
      <xdr:rowOff>142876</xdr:rowOff>
    </xdr:from>
    <xdr:to>
      <xdr:col>8</xdr:col>
      <xdr:colOff>123825</xdr:colOff>
      <xdr:row>38</xdr:row>
      <xdr:rowOff>47626</xdr:rowOff>
    </xdr:to>
    <xdr:sp macro="" textlink="">
      <xdr:nvSpPr>
        <xdr:cNvPr id="3" name="TextBox 2"/>
        <xdr:cNvSpPr txBox="1"/>
      </xdr:nvSpPr>
      <xdr:spPr>
        <a:xfrm>
          <a:off x="9525" y="5819776"/>
          <a:ext cx="7000875" cy="723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latin typeface="+mn-lt"/>
              <a:ea typeface="+mn-ea"/>
              <a:cs typeface="+mn-cs"/>
            </a:rPr>
            <a:t>Crop Insurance Values were obtained from the "Cost Estimator" application located at http://ewebapp.rma.usda.gov/apps/costestimator/. The list below shows the budget and county used to estimate crop insurance.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0</xdr:row>
      <xdr:rowOff>104775</xdr:rowOff>
    </xdr:from>
    <xdr:to>
      <xdr:col>11</xdr:col>
      <xdr:colOff>200025</xdr:colOff>
      <xdr:row>27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c872-budge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General Variables"/>
      <sheetName val="Power Units"/>
      <sheetName val="Operations"/>
      <sheetName val="Price Check"/>
      <sheetName val="Materials"/>
      <sheetName val="1-Alfalfa"/>
      <sheetName val="Formulas"/>
      <sheetName val="Depreciation Graph"/>
      <sheetName val="ec872-budget1"/>
    </sheetNames>
    <sheetDataSet>
      <sheetData sheetId="0"/>
      <sheetData sheetId="1">
        <row r="18">
          <cell r="A18" t="str">
            <v>Corn Dryland</v>
          </cell>
          <cell r="B18">
            <v>23</v>
          </cell>
        </row>
        <row r="19">
          <cell r="A19" t="str">
            <v>Corn Dryland Ecofallow</v>
          </cell>
          <cell r="B19">
            <v>20</v>
          </cell>
        </row>
        <row r="20">
          <cell r="A20" t="str">
            <v>Corn Irrigated</v>
          </cell>
          <cell r="B20">
            <v>10</v>
          </cell>
        </row>
        <row r="21">
          <cell r="A21" t="str">
            <v>Drybeans</v>
          </cell>
          <cell r="B21">
            <v>21</v>
          </cell>
        </row>
        <row r="22">
          <cell r="A22" t="str">
            <v>Grain Sorghum Dryland</v>
          </cell>
          <cell r="B22">
            <v>11</v>
          </cell>
        </row>
        <row r="23">
          <cell r="A23" t="str">
            <v>Grain Sorghum Irrigated</v>
          </cell>
          <cell r="B23">
            <v>10</v>
          </cell>
        </row>
        <row r="24">
          <cell r="A24" t="str">
            <v>Millet</v>
          </cell>
          <cell r="B24">
            <v>15</v>
          </cell>
        </row>
        <row r="25">
          <cell r="A25" t="str">
            <v>Oats</v>
          </cell>
          <cell r="B25">
            <v>11</v>
          </cell>
        </row>
        <row r="26">
          <cell r="A26" t="str">
            <v>Soybeans Dryland</v>
          </cell>
          <cell r="B26">
            <v>16</v>
          </cell>
        </row>
        <row r="27">
          <cell r="A27" t="str">
            <v>Soybeans Irrigated</v>
          </cell>
          <cell r="B27">
            <v>8.5</v>
          </cell>
        </row>
        <row r="28">
          <cell r="A28" t="str">
            <v>Sugar Beets</v>
          </cell>
          <cell r="B28">
            <v>20</v>
          </cell>
        </row>
        <row r="29">
          <cell r="A29" t="str">
            <v>Sunflower Dryland</v>
          </cell>
          <cell r="B29">
            <v>14</v>
          </cell>
        </row>
        <row r="30">
          <cell r="A30" t="str">
            <v>Sunflower Irrigated</v>
          </cell>
          <cell r="B30">
            <v>19</v>
          </cell>
        </row>
        <row r="31">
          <cell r="A31" t="str">
            <v>Wheat After Crop</v>
          </cell>
          <cell r="B31">
            <v>14.5</v>
          </cell>
        </row>
        <row r="32">
          <cell r="A32" t="str">
            <v>Wheat Fallowed</v>
          </cell>
          <cell r="B32">
            <v>9.5</v>
          </cell>
        </row>
        <row r="33">
          <cell r="A33" t="str">
            <v>Wheat Irrigated</v>
          </cell>
          <cell r="B33">
            <v>13.25</v>
          </cell>
        </row>
      </sheetData>
      <sheetData sheetId="2"/>
      <sheetData sheetId="3">
        <row r="2">
          <cell r="AE2" t="str">
            <v xml:space="preserve">Combines </v>
          </cell>
          <cell r="AF2" t="str">
            <v xml:space="preserve"> 1.132 </v>
          </cell>
          <cell r="AG2" t="str">
            <v xml:space="preserve"> 0.165 </v>
          </cell>
          <cell r="AH2">
            <v>0</v>
          </cell>
        </row>
        <row r="3">
          <cell r="AE3" t="str">
            <v xml:space="preserve">Mowers </v>
          </cell>
          <cell r="AF3" t="str">
            <v xml:space="preserve"> 0.756 </v>
          </cell>
          <cell r="AG3" t="str">
            <v xml:space="preserve"> 0.067 </v>
          </cell>
        </row>
        <row r="4">
          <cell r="AE4" t="str">
            <v xml:space="preserve">Balers </v>
          </cell>
          <cell r="AF4" t="str">
            <v xml:space="preserve"> 0.852 </v>
          </cell>
          <cell r="AG4" t="str">
            <v xml:space="preserve"> 0.101 </v>
          </cell>
        </row>
        <row r="5">
          <cell r="AE5" t="str">
            <v xml:space="preserve">Swathers and all other harvest equipment </v>
          </cell>
          <cell r="AF5" t="str">
            <v xml:space="preserve"> 0.791 </v>
          </cell>
          <cell r="AG5" t="str">
            <v xml:space="preserve"> 0.091 </v>
          </cell>
        </row>
        <row r="6">
          <cell r="AE6" t="str">
            <v xml:space="preserve">Plows </v>
          </cell>
          <cell r="AF6" t="str">
            <v xml:space="preserve"> 0.738 </v>
          </cell>
          <cell r="AG6" t="str">
            <v xml:space="preserve"> 0.051 </v>
          </cell>
        </row>
        <row r="7">
          <cell r="AE7" t="str">
            <v xml:space="preserve">Disks and all other tillage equipment </v>
          </cell>
          <cell r="AF7" t="str">
            <v xml:space="preserve"> 0.891 </v>
          </cell>
          <cell r="AG7" t="str">
            <v xml:space="preserve"> 0.110 </v>
          </cell>
        </row>
        <row r="8">
          <cell r="AE8" t="str">
            <v xml:space="preserve">Skid-steerloaders and all other vechicles </v>
          </cell>
          <cell r="AF8" t="str">
            <v xml:space="preserve"> 0.786 </v>
          </cell>
          <cell r="AG8" t="str">
            <v xml:space="preserve"> 0.063 </v>
          </cell>
          <cell r="AH8">
            <v>0</v>
          </cell>
        </row>
        <row r="9">
          <cell r="AE9" t="str">
            <v xml:space="preserve">Planters </v>
          </cell>
          <cell r="AF9" t="str">
            <v xml:space="preserve"> 0.883 </v>
          </cell>
          <cell r="AG9" t="str">
            <v xml:space="preserve"> 0.078 </v>
          </cell>
        </row>
        <row r="10">
          <cell r="AE10" t="str">
            <v xml:space="preserve">Manure spreaders and all other miscellaneous equipment </v>
          </cell>
          <cell r="AF10" t="str">
            <v xml:space="preserve"> 0.943 </v>
          </cell>
          <cell r="AG10" t="str">
            <v xml:space="preserve"> 0.111 </v>
          </cell>
        </row>
        <row r="11">
          <cell r="AE11" t="str">
            <v>Pivots</v>
          </cell>
          <cell r="AF11" t="str">
            <v xml:space="preserve"> 0.891 </v>
          </cell>
          <cell r="AG11" t="str">
            <v xml:space="preserve"> 0.110 </v>
          </cell>
        </row>
      </sheetData>
      <sheetData sheetId="4"/>
      <sheetData sheetId="5"/>
      <sheetData sheetId="6"/>
      <sheetData sheetId="7"/>
      <sheetData sheetId="8"/>
      <sheetData sheetId="9" refreshError="1"/>
    </sheetDataSet>
  </externalBook>
</externalLink>
</file>

<file path=xl/tables/table1.xml><?xml version="1.0" encoding="utf-8"?>
<table xmlns="http://schemas.openxmlformats.org/spreadsheetml/2006/main" id="9" name="Table9" displayName="Table9" ref="E4:F13" totalsRowShown="0" headerRowDxfId="92" dataDxfId="91">
  <autoFilter ref="E4:F13"/>
  <tableColumns count="2">
    <tableColumn id="1" name="Description" dataDxfId="90"/>
    <tableColumn id="2" name="Value" dataDxfId="89" dataCellStyle="Comma"/>
  </tableColumns>
  <tableStyleInfo name="TableStyleMedium2" showFirstColumn="0" showLastColumn="0" showRowStripes="1" showColumnStripes="0"/>
</table>
</file>

<file path=xl/tables/table2.xml><?xml version="1.0" encoding="utf-8"?>
<table xmlns="http://schemas.openxmlformats.org/spreadsheetml/2006/main" id="6" name="Table1" displayName="Table1" ref="X1:AB7" totalsRowShown="0" headerRowDxfId="88" dataDxfId="87">
  <autoFilter ref="X1:AB7"/>
  <tableColumns count="5">
    <tableColumn id="1" name=" Equipment type " dataDxfId="86"/>
    <tableColumn id="2" name="Machine" dataDxfId="85"/>
    <tableColumn id="3" name=" C1 " dataDxfId="84"/>
    <tableColumn id="4" name=" C2 " dataDxfId="83"/>
    <tableColumn id="5" name=" C3 " dataDxfId="82"/>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81" dataDxfId="79" headerRowBorderDxfId="80" tableBorderDxfId="78">
  <autoFilter ref="R1:V8"/>
  <tableColumns count="5">
    <tableColumn id="1" name="Machine" dataDxfId="77"/>
    <tableColumn id="2" name="Catogory" dataDxfId="76"/>
    <tableColumn id="3" name="RF1" dataDxfId="75"/>
    <tableColumn id="4" name="RF2" dataDxfId="74"/>
    <tableColumn id="5" name="Estimated Life" dataDxfId="73"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72" dataDxfId="71">
  <autoFilter ref="A1:P12"/>
  <tableColumns count="16">
    <tableColumn id="1" name="Name" dataDxfId="70"/>
    <tableColumn id="2" name="Repair Category" dataDxfId="69"/>
    <tableColumn id="3" name="Depreciation Category" dataDxfId="68"/>
    <tableColumn id="4" name="List Price" dataDxfId="67" dataCellStyle="Comma"/>
    <tableColumn id="12" name="Beg Yr Value" dataDxfId="66" dataCellStyle="Comma"/>
    <tableColumn id="5" name="Age" dataDxfId="65"/>
    <tableColumn id="6" name="Tach Hours" dataDxfId="64"/>
    <tableColumn id="7" name="Est. Hours per Year" dataDxfId="63"/>
    <tableColumn id="14" name="Calculated List Price" dataDxfId="62"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61"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60"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9"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8">
      <calculatedColumnFormula>IF(PowerUnits[[#This Row],[Est. Hours per Year]]=0,0,(PowerUnits[[#This Row],[Calculated Beg Yr. Value]]-PowerUnits[[#This Row],[Calculated End Yr. Value]])/PowerUnits[[#This Row],[Est. Hours per Year]])</calculatedColumnFormula>
    </tableColumn>
    <tableColumn id="15" name="TIH per Hour" dataDxfId="57">
      <calculatedColumnFormula>IF(PowerUnits[[#This Row],[Est. Hours per Year]]=0,0,PowerUnits[[#This Row],[Calculated Beg Yr. Value]]*'General Variables'!$B$9/PowerUnits[[#This Row],[Est. Hours per Year]])</calculatedColumnFormula>
    </tableColumn>
    <tableColumn id="16" name="Opportunity Cost per Hour" dataDxfId="56">
      <calculatedColumnFormula>IF(PowerUnits[[#This Row],[Est. Hours per Year]]=0,0,PowerUnits[[#This Row],[Calculated Beg Yr. Value]]*'General Variables'!$B$10/PowerUnits[[#This Row],[Est. Hours per Year]])</calculatedColumnFormula>
    </tableColumn>
    <tableColumn id="17" name="Ownership Cost per Hour" dataDxfId="55">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3" name="ImpRepairFac" displayName="ImpRepairFac" ref="W1:AA48" totalsRowShown="0" headerRowDxfId="54" dataDxfId="53">
  <autoFilter ref="W1:AA48"/>
  <sortState ref="W2:AA53">
    <sortCondition ref="W2:W54"/>
  </sortState>
  <tableColumns count="5">
    <tableColumn id="2" name="Machine" dataDxfId="52"/>
    <tableColumn id="1" name="Catogory" dataDxfId="51"/>
    <tableColumn id="3" name="RF1" dataDxfId="50"/>
    <tableColumn id="4" name="RF2" dataDxfId="49"/>
    <tableColumn id="5" name="Estimated Life" dataDxfId="48" dataCellStyle="Currency"/>
  </tableColumns>
  <tableStyleInfo name="TableStyleMedium3" showFirstColumn="0" showLastColumn="0" showRowStripes="1" showColumnStripes="0"/>
</table>
</file>

<file path=xl/tables/table6.xml><?xml version="1.0" encoding="utf-8"?>
<table xmlns="http://schemas.openxmlformats.org/spreadsheetml/2006/main" id="4" name="ImpDepreciation" displayName="ImpDepreciation" ref="AD1:AH11" totalsRowShown="0" headerRowDxfId="47" dataDxfId="46">
  <autoFilter ref="AD1:AH11"/>
  <tableColumns count="5">
    <tableColumn id="1" name=" Equipment type " dataDxfId="45"/>
    <tableColumn id="2" name="Machine" dataDxfId="44"/>
    <tableColumn id="3" name=" C1 " dataDxfId="43"/>
    <tableColumn id="4" name=" C2 " dataDxfId="42"/>
    <tableColumn id="5" name=" C3 " dataDxfId="41"/>
  </tableColumns>
  <tableStyleInfo name="TableStyleMedium3" showFirstColumn="0" showLastColumn="0" showRowStripes="1" showColumnStripes="0"/>
</table>
</file>

<file path=xl/tables/table7.xml><?xml version="1.0" encoding="utf-8"?>
<table xmlns="http://schemas.openxmlformats.org/spreadsheetml/2006/main" id="5" name="IrrigationSystems" displayName="IrrigationSystems" ref="AK3:AM15" totalsRowShown="0" headerRowDxfId="40" dataDxfId="39">
  <autoFilter ref="AK3:AM15"/>
  <tableColumns count="3">
    <tableColumn id="1" name="System Type" dataDxfId="38"/>
    <tableColumn id="2" name="Life-yrs" dataDxfId="37"/>
    <tableColumn id="3" name="Maintenance, % of capital cost" dataDxfId="36"/>
  </tableColumns>
  <tableStyleInfo name="TableStyleMedium3" showFirstColumn="0" showLastColumn="0" showRowStripes="1" showColumnStripes="0"/>
</table>
</file>

<file path=xl/tables/table8.xml><?xml version="1.0" encoding="utf-8"?>
<table xmlns="http://schemas.openxmlformats.org/spreadsheetml/2006/main" id="2" name="Operations" displayName="Operations" ref="A1:U101" totalsRowShown="0" headerRowDxfId="35" dataDxfId="33" headerRowBorderDxfId="34" tableBorderDxfId="32">
  <autoFilter ref="A1:U101"/>
  <sortState ref="A2:U101">
    <sortCondition ref="A1:A101"/>
  </sortState>
  <tableColumns count="21">
    <tableColumn id="1" name="Op Name" dataDxfId="31"/>
    <tableColumn id="2" name="Unit" dataDxfId="30"/>
    <tableColumn id="10" name="Repair Category" dataDxfId="29"/>
    <tableColumn id="11" name="Depreciation Category" dataDxfId="28"/>
    <tableColumn id="12" name="List Price" dataDxfId="27"/>
    <tableColumn id="14" name="Begin Yr. Value" dataDxfId="26" dataCellStyle="Comma"/>
    <tableColumn id="13" name="Age" dataDxfId="25"/>
    <tableColumn id="21" name="Annual Use" dataDxfId="24"/>
    <tableColumn id="22" name="Units per Hour" dataDxfId="23"/>
    <tableColumn id="19" name="Labor Factor" dataDxfId="22" dataCellStyle="Comma"/>
    <tableColumn id="20" name="Power Source" dataDxfId="21"/>
    <tableColumn id="24" name="Diesel Use per Hour" dataDxfId="20" dataCellStyle="Comma"/>
    <tableColumn id="5" name="Kw Use per Hour" dataDxfId="19" dataCellStyle="Comma"/>
    <tableColumn id="4" name="Calc List Price" dataDxfId="18" dataCellStyle="Comma">
      <calculatedColumnFormula>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calculatedColumnFormula>
    </tableColumn>
    <tableColumn id="28" name="Repairs per Unit" dataDxfId="17" dataCellStyle="Comma">
      <calculatedColumnFormula>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calculatedColumnFormula>
    </tableColumn>
    <tableColumn id="25" name="Calc Beg Yr. Value" dataDxfId="16" dataCellStyle="Comma">
      <calculatedColumnFormula>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calculatedColumnFormula>
    </tableColumn>
    <tableColumn id="26" name="Calc End Yr. Value" dataDxfId="15" dataCellStyle="Comma">
      <calculatedColumnFormula>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calculatedColumnFormula>
    </tableColumn>
    <tableColumn id="27" name="Depreciation per Unit" dataDxfId="14" dataCellStyle="Comma">
      <calculatedColumnFormula>IF(Operations[[#This Row],[Calc List Price]]=0,0,IF(Operations[[#This Row],[Units per Hour]]*Operations[[#This Row],[Annual Use]]=0,0,(Operations[[#This Row],[Calc Beg Yr. Value]]-Operations[[#This Row],[Calc End Yr. Value]])/(Operations[[#This Row],[Annual Use]])))</calculatedColumnFormula>
    </tableColumn>
    <tableColumn id="3" name="TIH per Unit" dataDxfId="13" dataCellStyle="Comma">
      <calculatedColumnFormula>IF(Operations[[#This Row],[Annual Use]]=0,0,Operations[[#This Row],[Calc Beg Yr. Value]]*'General Variables'!$B$9/Operations[[#This Row],[Annual Use]])</calculatedColumnFormula>
    </tableColumn>
    <tableColumn id="6" name="Opportunity Cost per Unit" dataDxfId="12" dataCellStyle="Comma">
      <calculatedColumnFormula>IF(Operations[[#This Row],[Annual Use]]=0,0,Operations[[#This Row],[Calc Beg Yr. Value]]*'General Variables'!$B$10/Operations[[#This Row],[Annual Use]])</calculatedColumnFormula>
    </tableColumn>
    <tableColumn id="7" name="Ownership Cost per Unit" dataDxfId="11" dataCellStyle="Comma">
      <calculatedColumnFormula>SUM(Operations[[#This Row],[Depreciation per Unit]:[Opportunity Cost per Unit]])</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 name="Materials" displayName="Materials" ref="B1:H123" totalsRowShown="0" headerRowDxfId="10" dataDxfId="8" headerRowBorderDxfId="9" tableBorderDxfId="7">
  <autoFilter ref="B1:H123"/>
  <sortState ref="B2:H123">
    <sortCondition ref="B1:B123"/>
  </sortState>
  <tableColumns count="7">
    <tableColumn id="1" name="Material" dataDxfId="6"/>
    <tableColumn id="2" name="Category" dataDxfId="5"/>
    <tableColumn id="3" name="Purchase Price" dataDxfId="4"/>
    <tableColumn id="4" name="Purchase Unit" dataDxfId="3"/>
    <tableColumn id="5" name="Applied Unit" dataDxfId="2"/>
    <tableColumn id="6" name="Applied Units / Purchased Units" dataDxfId="1"/>
    <tableColumn id="7" name="Applied Price" dataDxfId="0">
      <calculatedColumnFormula>IF(G2=0,0,D2/G2)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schild1@unl.edu" TargetMode="External"/><Relationship Id="rId3" Type="http://schemas.openxmlformats.org/officeDocument/2006/relationships/hyperlink" Target="mailto:lgiesler@unl.edu" TargetMode="External"/><Relationship Id="rId7" Type="http://schemas.openxmlformats.org/officeDocument/2006/relationships/hyperlink" Target="mailto:ghergert1@unl.edu" TargetMode="External"/><Relationship Id="rId2" Type="http://schemas.openxmlformats.org/officeDocument/2006/relationships/hyperlink" Target="mailto:tjackson3@unl.edu" TargetMode="External"/><Relationship Id="rId1" Type="http://schemas.openxmlformats.org/officeDocument/2006/relationships/hyperlink" Target="mailto:rwright@unl.edu" TargetMode="External"/><Relationship Id="rId6" Type="http://schemas.openxmlformats.org/officeDocument/2006/relationships/hyperlink" Target="mailto:rwilson5@unl.edu" TargetMode="External"/><Relationship Id="rId5" Type="http://schemas.openxmlformats.org/officeDocument/2006/relationships/hyperlink" Target="mailto:pjasa1@unl.edu" TargetMode="External"/><Relationship Id="rId10" Type="http://schemas.openxmlformats.org/officeDocument/2006/relationships/drawing" Target="../drawings/drawing1.xml"/><Relationship Id="rId4" Type="http://schemas.openxmlformats.org/officeDocument/2006/relationships/hyperlink" Target="mailto:swegulo2@unl.edu"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8:L46"/>
  <sheetViews>
    <sheetView workbookViewId="0"/>
  </sheetViews>
  <sheetFormatPr defaultRowHeight="12.75" x14ac:dyDescent="0.2"/>
  <cols>
    <col min="1" max="16384" width="9.140625" style="25"/>
  </cols>
  <sheetData>
    <row r="38" spans="3:12" x14ac:dyDescent="0.2">
      <c r="C38" s="25" t="s">
        <v>480</v>
      </c>
    </row>
    <row r="39" spans="3:12" x14ac:dyDescent="0.2">
      <c r="D39" s="25" t="s">
        <v>481</v>
      </c>
      <c r="F39" s="25" t="s">
        <v>488</v>
      </c>
      <c r="L39" s="179" t="s">
        <v>482</v>
      </c>
    </row>
    <row r="40" spans="3:12" x14ac:dyDescent="0.2">
      <c r="D40" s="25" t="s">
        <v>484</v>
      </c>
      <c r="F40" s="25" t="s">
        <v>600</v>
      </c>
      <c r="L40" s="179" t="s">
        <v>483</v>
      </c>
    </row>
    <row r="41" spans="3:12" x14ac:dyDescent="0.2">
      <c r="D41" s="25" t="s">
        <v>485</v>
      </c>
      <c r="F41" s="25" t="s">
        <v>601</v>
      </c>
      <c r="L41" s="179" t="s">
        <v>486</v>
      </c>
    </row>
    <row r="42" spans="3:12" x14ac:dyDescent="0.2">
      <c r="D42" s="25" t="s">
        <v>602</v>
      </c>
      <c r="F42" s="25" t="s">
        <v>603</v>
      </c>
      <c r="L42" s="179" t="s">
        <v>604</v>
      </c>
    </row>
    <row r="43" spans="3:12" x14ac:dyDescent="0.2">
      <c r="D43" s="25" t="s">
        <v>605</v>
      </c>
      <c r="F43" s="25" t="s">
        <v>606</v>
      </c>
      <c r="L43" s="179" t="s">
        <v>487</v>
      </c>
    </row>
    <row r="44" spans="3:12" x14ac:dyDescent="0.2">
      <c r="D44" s="25" t="s">
        <v>607</v>
      </c>
      <c r="F44" s="25" t="s">
        <v>608</v>
      </c>
      <c r="K44" s="179"/>
      <c r="L44" s="179" t="s">
        <v>609</v>
      </c>
    </row>
    <row r="45" spans="3:12" x14ac:dyDescent="0.2">
      <c r="D45" s="25" t="s">
        <v>610</v>
      </c>
      <c r="F45" s="25" t="s">
        <v>611</v>
      </c>
      <c r="K45" s="179"/>
      <c r="L45" s="179" t="s">
        <v>612</v>
      </c>
    </row>
    <row r="46" spans="3:12" x14ac:dyDescent="0.2">
      <c r="D46" s="25" t="s">
        <v>613</v>
      </c>
      <c r="F46" s="25" t="s">
        <v>614</v>
      </c>
      <c r="K46" s="179"/>
      <c r="L46" s="179" t="s">
        <v>615</v>
      </c>
    </row>
  </sheetData>
  <hyperlinks>
    <hyperlink ref="L39" r:id="rId1"/>
    <hyperlink ref="L40" r:id="rId2"/>
    <hyperlink ref="L41" r:id="rId3"/>
    <hyperlink ref="L43" r:id="rId4"/>
    <hyperlink ref="L42" r:id="rId5"/>
    <hyperlink ref="L44" r:id="rId6"/>
    <hyperlink ref="L45" r:id="rId7"/>
    <hyperlink ref="L46" r:id="rId8"/>
  </hyperlinks>
  <pageMargins left="0.7" right="0.7" top="0.75" bottom="0.75" header="0.3" footer="0.3"/>
  <pageSetup scale="67" orientation="portrait" horizontalDpi="1200" verticalDpi="1200"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pageSetUpPr fitToPage="1"/>
  </sheetPr>
  <dimension ref="A1:N99"/>
  <sheetViews>
    <sheetView workbookViewId="0">
      <selection sqref="A1:I1"/>
    </sheetView>
  </sheetViews>
  <sheetFormatPr defaultRowHeight="12.75" x14ac:dyDescent="0.2"/>
  <cols>
    <col min="1" max="1" width="24" style="25" customWidth="1"/>
    <col min="2" max="2" width="10.42578125" style="25" customWidth="1"/>
    <col min="3" max="3" width="8.140625" style="25" customWidth="1"/>
    <col min="4" max="4" width="9.140625" style="25"/>
    <col min="5" max="5" width="17.5703125" style="25" customWidth="1"/>
    <col min="6" max="6" width="9.42578125" style="25" customWidth="1"/>
    <col min="7" max="7" width="7" style="25" customWidth="1"/>
    <col min="8" max="8" width="17.5703125" style="25" customWidth="1"/>
    <col min="9" max="9" width="10.28515625" style="25" customWidth="1"/>
    <col min="10" max="10" width="4.7109375" style="25" customWidth="1"/>
    <col min="11" max="11" width="15.85546875" style="25" customWidth="1"/>
    <col min="12" max="12" width="9.140625" style="25"/>
    <col min="13" max="13" width="12.140625" style="25" customWidth="1"/>
    <col min="14" max="16384" width="9.140625" style="25"/>
  </cols>
  <sheetData>
    <row r="1" spans="1:14" ht="33" x14ac:dyDescent="0.45">
      <c r="A1" s="297" t="s">
        <v>583</v>
      </c>
      <c r="B1" s="297"/>
      <c r="C1" s="297"/>
      <c r="D1" s="297"/>
      <c r="E1" s="297"/>
      <c r="F1" s="297"/>
      <c r="G1" s="297"/>
      <c r="H1" s="297"/>
      <c r="I1" s="297"/>
    </row>
    <row r="3" spans="1:14" ht="15.75" x14ac:dyDescent="0.25">
      <c r="A3" s="26" t="s">
        <v>369</v>
      </c>
      <c r="B3" s="64">
        <v>2015</v>
      </c>
      <c r="C3" s="68"/>
      <c r="E3" s="197" t="s">
        <v>415</v>
      </c>
      <c r="M3" s="29"/>
      <c r="N3" s="29"/>
    </row>
    <row r="4" spans="1:14" x14ac:dyDescent="0.2">
      <c r="A4" s="27" t="s">
        <v>87</v>
      </c>
      <c r="B4" s="62">
        <v>20</v>
      </c>
      <c r="C4" s="69" t="s">
        <v>90</v>
      </c>
      <c r="E4" s="25" t="s">
        <v>416</v>
      </c>
      <c r="F4" s="25" t="s">
        <v>417</v>
      </c>
    </row>
    <row r="5" spans="1:14" x14ac:dyDescent="0.2">
      <c r="A5" s="27" t="s">
        <v>88</v>
      </c>
      <c r="B5" s="62">
        <v>3.25</v>
      </c>
      <c r="C5" s="70" t="s">
        <v>466</v>
      </c>
      <c r="E5" s="72" t="s">
        <v>472</v>
      </c>
      <c r="F5" s="288">
        <v>3730</v>
      </c>
    </row>
    <row r="6" spans="1:14" x14ac:dyDescent="0.2">
      <c r="A6" s="28" t="s">
        <v>430</v>
      </c>
      <c r="B6" s="65">
        <v>1.1499999999999999</v>
      </c>
      <c r="C6" s="70"/>
      <c r="E6" s="72" t="s">
        <v>479</v>
      </c>
      <c r="F6" s="288">
        <v>845</v>
      </c>
    </row>
    <row r="7" spans="1:14" x14ac:dyDescent="0.2">
      <c r="A7" s="28" t="s">
        <v>431</v>
      </c>
      <c r="B7" s="177">
        <f>B5*B6</f>
        <v>3.7374999999999998</v>
      </c>
      <c r="C7" s="69" t="s">
        <v>92</v>
      </c>
      <c r="E7" s="72" t="s">
        <v>411</v>
      </c>
      <c r="F7" s="288">
        <v>7310</v>
      </c>
    </row>
    <row r="8" spans="1:14" x14ac:dyDescent="0.2">
      <c r="A8" s="27" t="s">
        <v>89</v>
      </c>
      <c r="B8" s="63">
        <v>0.1</v>
      </c>
      <c r="C8" s="69" t="s">
        <v>91</v>
      </c>
      <c r="E8" s="72" t="s">
        <v>412</v>
      </c>
      <c r="F8" s="288">
        <v>3040</v>
      </c>
    </row>
    <row r="9" spans="1:14" x14ac:dyDescent="0.2">
      <c r="A9" s="27" t="s">
        <v>368</v>
      </c>
      <c r="B9" s="66">
        <v>0.02</v>
      </c>
      <c r="C9" s="71"/>
      <c r="E9" s="72" t="s">
        <v>413</v>
      </c>
      <c r="F9" s="288">
        <v>7685</v>
      </c>
    </row>
    <row r="10" spans="1:14" x14ac:dyDescent="0.2">
      <c r="A10" s="27" t="s">
        <v>104</v>
      </c>
      <c r="B10" s="66">
        <v>0.04</v>
      </c>
      <c r="C10" s="71"/>
      <c r="E10" s="72" t="s">
        <v>414</v>
      </c>
      <c r="F10" s="288">
        <v>3770</v>
      </c>
    </row>
    <row r="11" spans="1:14" x14ac:dyDescent="0.2">
      <c r="A11" s="27" t="s">
        <v>403</v>
      </c>
      <c r="B11" s="66">
        <v>5.5E-2</v>
      </c>
      <c r="C11" s="70"/>
      <c r="E11" s="60" t="s">
        <v>475</v>
      </c>
      <c r="F11" s="289">
        <v>1965</v>
      </c>
    </row>
    <row r="12" spans="1:14" x14ac:dyDescent="0.2">
      <c r="A12" s="27" t="s">
        <v>404</v>
      </c>
      <c r="B12" s="67">
        <v>6</v>
      </c>
      <c r="C12" s="70" t="s">
        <v>405</v>
      </c>
      <c r="E12" s="60" t="s">
        <v>101</v>
      </c>
      <c r="F12" s="289">
        <v>0</v>
      </c>
    </row>
    <row r="13" spans="1:14" ht="15.75" customHeight="1" x14ac:dyDescent="0.2">
      <c r="A13" s="27" t="s">
        <v>419</v>
      </c>
      <c r="B13" s="66">
        <v>0.01</v>
      </c>
      <c r="C13" s="70"/>
      <c r="E13" s="60" t="s">
        <v>593</v>
      </c>
      <c r="F13" s="289">
        <f>F9*0.7</f>
        <v>5379.5</v>
      </c>
    </row>
    <row r="14" spans="1:14" ht="12.75" customHeight="1" x14ac:dyDescent="0.2">
      <c r="A14" s="27" t="s">
        <v>455</v>
      </c>
      <c r="B14" s="62">
        <v>20</v>
      </c>
      <c r="C14" s="70"/>
    </row>
    <row r="15" spans="1:14" ht="12.75" customHeight="1" x14ac:dyDescent="0.2"/>
    <row r="16" spans="1:14" ht="12.75" customHeight="1" x14ac:dyDescent="0.2">
      <c r="A16" s="197" t="s">
        <v>408</v>
      </c>
    </row>
    <row r="17" spans="1:14" ht="12.75" customHeight="1" x14ac:dyDescent="0.2">
      <c r="A17" s="193" t="s">
        <v>502</v>
      </c>
      <c r="B17" s="193" t="s">
        <v>513</v>
      </c>
    </row>
    <row r="18" spans="1:14" ht="12.75" customHeight="1" x14ac:dyDescent="0.2">
      <c r="A18" s="191" t="s">
        <v>504</v>
      </c>
      <c r="B18" s="192">
        <v>23</v>
      </c>
    </row>
    <row r="19" spans="1:14" ht="12.75" customHeight="1" x14ac:dyDescent="0.2">
      <c r="A19" s="191" t="s">
        <v>596</v>
      </c>
      <c r="B19" s="192">
        <v>20</v>
      </c>
    </row>
    <row r="20" spans="1:14" ht="12.75" customHeight="1" x14ac:dyDescent="0.2">
      <c r="A20" s="191" t="s">
        <v>503</v>
      </c>
      <c r="B20" s="192">
        <v>10</v>
      </c>
    </row>
    <row r="21" spans="1:14" ht="12.75" customHeight="1" x14ac:dyDescent="0.2">
      <c r="A21" s="191" t="s">
        <v>507</v>
      </c>
      <c r="B21" s="192">
        <v>21</v>
      </c>
    </row>
    <row r="22" spans="1:14" ht="12.75" customHeight="1" x14ac:dyDescent="0.2">
      <c r="A22" s="191" t="s">
        <v>511</v>
      </c>
      <c r="B22" s="192">
        <v>11</v>
      </c>
    </row>
    <row r="23" spans="1:14" ht="12.75" customHeight="1" x14ac:dyDescent="0.2">
      <c r="A23" s="191" t="s">
        <v>512</v>
      </c>
      <c r="B23" s="192">
        <v>10</v>
      </c>
    </row>
    <row r="24" spans="1:14" ht="12.75" customHeight="1" x14ac:dyDescent="0.2">
      <c r="A24" s="191" t="s">
        <v>43</v>
      </c>
      <c r="B24" s="192">
        <v>15</v>
      </c>
    </row>
    <row r="25" spans="1:14" ht="12.75" customHeight="1" x14ac:dyDescent="0.2">
      <c r="A25" s="191" t="s">
        <v>46</v>
      </c>
      <c r="B25" s="192">
        <v>11</v>
      </c>
    </row>
    <row r="26" spans="1:14" x14ac:dyDescent="0.2">
      <c r="A26" s="191" t="s">
        <v>506</v>
      </c>
      <c r="B26" s="192">
        <v>16</v>
      </c>
    </row>
    <row r="27" spans="1:14" x14ac:dyDescent="0.2">
      <c r="A27" s="191" t="s">
        <v>505</v>
      </c>
      <c r="B27" s="192">
        <v>8.5</v>
      </c>
    </row>
    <row r="28" spans="1:14" x14ac:dyDescent="0.2">
      <c r="A28" s="191" t="s">
        <v>508</v>
      </c>
      <c r="B28" s="192">
        <v>20</v>
      </c>
    </row>
    <row r="29" spans="1:14" x14ac:dyDescent="0.2">
      <c r="A29" s="191" t="s">
        <v>581</v>
      </c>
      <c r="B29" s="192">
        <v>14</v>
      </c>
    </row>
    <row r="30" spans="1:14" x14ac:dyDescent="0.2">
      <c r="A30" s="191" t="s">
        <v>582</v>
      </c>
      <c r="B30" s="192">
        <v>19</v>
      </c>
    </row>
    <row r="31" spans="1:14" x14ac:dyDescent="0.2">
      <c r="A31" s="191" t="s">
        <v>514</v>
      </c>
      <c r="B31" s="192">
        <v>14.5</v>
      </c>
    </row>
    <row r="32" spans="1:14" x14ac:dyDescent="0.2">
      <c r="A32" s="191" t="s">
        <v>509</v>
      </c>
      <c r="B32" s="192">
        <v>9.5</v>
      </c>
      <c r="M32" s="25" t="s">
        <v>516</v>
      </c>
      <c r="N32" s="25" t="s">
        <v>517</v>
      </c>
    </row>
    <row r="33" spans="1:14" x14ac:dyDescent="0.2">
      <c r="A33" s="191" t="s">
        <v>510</v>
      </c>
      <c r="B33" s="191">
        <v>13.25</v>
      </c>
      <c r="L33" s="25">
        <v>1</v>
      </c>
      <c r="M33" s="25" t="s">
        <v>584</v>
      </c>
      <c r="N33" s="25" t="s">
        <v>518</v>
      </c>
    </row>
    <row r="34" spans="1:14" ht="13.5" customHeight="1" x14ac:dyDescent="0.2">
      <c r="L34" s="25">
        <v>2</v>
      </c>
      <c r="M34" s="25" t="s">
        <v>584</v>
      </c>
      <c r="N34" s="25" t="s">
        <v>518</v>
      </c>
    </row>
    <row r="35" spans="1:14" x14ac:dyDescent="0.2">
      <c r="L35" s="25">
        <v>3</v>
      </c>
      <c r="M35" s="25" t="s">
        <v>584</v>
      </c>
      <c r="N35" s="25" t="s">
        <v>518</v>
      </c>
    </row>
    <row r="36" spans="1:14" x14ac:dyDescent="0.2">
      <c r="L36" s="25">
        <v>4</v>
      </c>
      <c r="M36" s="25" t="s">
        <v>584</v>
      </c>
      <c r="N36" s="25" t="s">
        <v>518</v>
      </c>
    </row>
    <row r="37" spans="1:14" x14ac:dyDescent="0.2">
      <c r="L37" s="25">
        <v>5</v>
      </c>
      <c r="M37" s="25" t="s">
        <v>584</v>
      </c>
      <c r="N37" s="25" t="s">
        <v>518</v>
      </c>
    </row>
    <row r="38" spans="1:14" x14ac:dyDescent="0.2">
      <c r="L38" s="25">
        <v>6</v>
      </c>
      <c r="M38" s="25" t="s">
        <v>584</v>
      </c>
      <c r="N38" s="25" t="s">
        <v>518</v>
      </c>
    </row>
    <row r="39" spans="1:14" x14ac:dyDescent="0.2">
      <c r="L39" s="25">
        <v>7</v>
      </c>
      <c r="M39" s="25" t="s">
        <v>584</v>
      </c>
      <c r="N39" s="25" t="s">
        <v>518</v>
      </c>
    </row>
    <row r="40" spans="1:14" ht="13.5" thickBot="1" x14ac:dyDescent="0.25">
      <c r="A40" s="196" t="s">
        <v>516</v>
      </c>
      <c r="B40" s="196" t="s">
        <v>517</v>
      </c>
      <c r="D40" s="295" t="s">
        <v>516</v>
      </c>
      <c r="E40" s="296"/>
      <c r="F40" s="196" t="s">
        <v>517</v>
      </c>
      <c r="H40" s="196" t="s">
        <v>516</v>
      </c>
      <c r="I40" s="196" t="s">
        <v>517</v>
      </c>
      <c r="L40" s="25">
        <v>8</v>
      </c>
      <c r="M40" s="25" t="s">
        <v>584</v>
      </c>
      <c r="N40" s="25" t="s">
        <v>518</v>
      </c>
    </row>
    <row r="41" spans="1:14" ht="13.5" thickTop="1" x14ac:dyDescent="0.2">
      <c r="A41" s="195" t="str">
        <f>CONCATENATE(L33,"-",M33)</f>
        <v>1-Alfalfa</v>
      </c>
      <c r="B41" s="195" t="s">
        <v>518</v>
      </c>
      <c r="D41" s="298" t="str">
        <f t="shared" ref="D41:D62" si="0">CONCATENATE(L56,"-",M56)</f>
        <v>24-Corn</v>
      </c>
      <c r="E41" s="299" t="str">
        <f t="shared" ref="E41:E62" si="1">CONCATENATE(P33,"-",Q33)</f>
        <v>-</v>
      </c>
      <c r="F41" s="290" t="s">
        <v>518</v>
      </c>
      <c r="H41" s="195" t="str">
        <f t="shared" ref="H41:H62" si="2">CONCATENATE(L78,"-",M78)</f>
        <v>46-Soybeans</v>
      </c>
      <c r="I41" s="195" t="str">
        <f>CONCATENATE(T33,"-",U33)</f>
        <v>-</v>
      </c>
      <c r="L41" s="25">
        <v>9</v>
      </c>
      <c r="M41" s="25" t="s">
        <v>584</v>
      </c>
      <c r="N41" s="25" t="s">
        <v>518</v>
      </c>
    </row>
    <row r="42" spans="1:14" x14ac:dyDescent="0.2">
      <c r="A42" s="195" t="str">
        <f t="shared" ref="A42:A63" si="3">CONCATENATE(L34,"-",M34)</f>
        <v>2-Alfalfa</v>
      </c>
      <c r="B42" s="194" t="s">
        <v>518</v>
      </c>
      <c r="D42" s="298" t="str">
        <f t="shared" si="0"/>
        <v>25-Corn</v>
      </c>
      <c r="E42" s="299" t="str">
        <f t="shared" si="1"/>
        <v>-</v>
      </c>
      <c r="F42" s="194" t="s">
        <v>518</v>
      </c>
      <c r="H42" s="195" t="str">
        <f t="shared" si="2"/>
        <v>47-Soybeans</v>
      </c>
      <c r="I42" s="194" t="s">
        <v>518</v>
      </c>
      <c r="L42" s="25">
        <v>10</v>
      </c>
      <c r="M42" s="25" t="s">
        <v>584</v>
      </c>
      <c r="N42" s="25" t="s">
        <v>518</v>
      </c>
    </row>
    <row r="43" spans="1:14" x14ac:dyDescent="0.2">
      <c r="A43" s="195" t="str">
        <f t="shared" si="3"/>
        <v>3-Alfalfa</v>
      </c>
      <c r="B43" s="194" t="s">
        <v>518</v>
      </c>
      <c r="D43" s="298" t="str">
        <f t="shared" si="0"/>
        <v>26-Corn</v>
      </c>
      <c r="E43" s="299" t="str">
        <f t="shared" si="1"/>
        <v>-</v>
      </c>
      <c r="F43" s="194" t="s">
        <v>518</v>
      </c>
      <c r="H43" s="195" t="str">
        <f t="shared" si="2"/>
        <v>48-Soybeans</v>
      </c>
      <c r="I43" s="194" t="s">
        <v>518</v>
      </c>
      <c r="L43" s="25">
        <v>11</v>
      </c>
      <c r="M43" s="25" t="s">
        <v>584</v>
      </c>
      <c r="N43" s="25" t="s">
        <v>518</v>
      </c>
    </row>
    <row r="44" spans="1:14" x14ac:dyDescent="0.2">
      <c r="A44" s="195" t="str">
        <f t="shared" si="3"/>
        <v>4-Alfalfa</v>
      </c>
      <c r="B44" s="194" t="s">
        <v>518</v>
      </c>
      <c r="D44" s="298" t="str">
        <f t="shared" si="0"/>
        <v>27-Corn</v>
      </c>
      <c r="E44" s="299" t="str">
        <f t="shared" si="1"/>
        <v>-</v>
      </c>
      <c r="F44" s="194" t="s">
        <v>518</v>
      </c>
      <c r="H44" s="195" t="str">
        <f t="shared" si="2"/>
        <v>49-Soybeans</v>
      </c>
      <c r="I44" s="194" t="s">
        <v>518</v>
      </c>
      <c r="L44" s="25">
        <v>12</v>
      </c>
      <c r="M44" s="25" t="s">
        <v>584</v>
      </c>
      <c r="N44" s="25" t="s">
        <v>518</v>
      </c>
    </row>
    <row r="45" spans="1:14" x14ac:dyDescent="0.2">
      <c r="A45" s="195" t="str">
        <f t="shared" si="3"/>
        <v>5-Alfalfa</v>
      </c>
      <c r="B45" s="194" t="s">
        <v>518</v>
      </c>
      <c r="D45" s="298" t="str">
        <f t="shared" si="0"/>
        <v>28-Corn</v>
      </c>
      <c r="E45" s="299" t="str">
        <f t="shared" si="1"/>
        <v>-</v>
      </c>
      <c r="F45" s="194" t="s">
        <v>518</v>
      </c>
      <c r="H45" s="195" t="str">
        <f t="shared" si="2"/>
        <v>50-Soybeans</v>
      </c>
      <c r="I45" s="194" t="s">
        <v>518</v>
      </c>
      <c r="L45" s="25">
        <v>13</v>
      </c>
      <c r="M45" s="25" t="s">
        <v>584</v>
      </c>
      <c r="N45" s="25" t="s">
        <v>518</v>
      </c>
    </row>
    <row r="46" spans="1:14" x14ac:dyDescent="0.2">
      <c r="A46" s="195" t="str">
        <f t="shared" si="3"/>
        <v>6-Alfalfa</v>
      </c>
      <c r="B46" s="194" t="s">
        <v>518</v>
      </c>
      <c r="D46" s="298" t="str">
        <f t="shared" si="0"/>
        <v>29-Corn</v>
      </c>
      <c r="E46" s="299" t="str">
        <f t="shared" si="1"/>
        <v>-</v>
      </c>
      <c r="F46" s="194" t="s">
        <v>518</v>
      </c>
      <c r="H46" s="195" t="str">
        <f t="shared" si="2"/>
        <v>51-Soybeans</v>
      </c>
      <c r="I46" s="194" t="s">
        <v>518</v>
      </c>
      <c r="L46" s="25">
        <v>14</v>
      </c>
      <c r="M46" s="25" t="s">
        <v>584</v>
      </c>
      <c r="N46" s="25" t="s">
        <v>518</v>
      </c>
    </row>
    <row r="47" spans="1:14" x14ac:dyDescent="0.2">
      <c r="A47" s="195" t="str">
        <f t="shared" si="3"/>
        <v>7-Alfalfa</v>
      </c>
      <c r="B47" s="194" t="s">
        <v>518</v>
      </c>
      <c r="D47" s="298" t="str">
        <f t="shared" si="0"/>
        <v>30-Dry Beans</v>
      </c>
      <c r="E47" s="299" t="str">
        <f t="shared" si="1"/>
        <v>-</v>
      </c>
      <c r="F47" s="194" t="s">
        <v>518</v>
      </c>
      <c r="H47" s="195" t="str">
        <f t="shared" si="2"/>
        <v>52-Soybeans</v>
      </c>
      <c r="I47" s="194" t="s">
        <v>518</v>
      </c>
      <c r="L47" s="25">
        <v>15</v>
      </c>
      <c r="M47" s="25" t="s">
        <v>23</v>
      </c>
      <c r="N47" s="25" t="s">
        <v>519</v>
      </c>
    </row>
    <row r="48" spans="1:14" x14ac:dyDescent="0.2">
      <c r="A48" s="195" t="str">
        <f t="shared" si="3"/>
        <v>8-Alfalfa</v>
      </c>
      <c r="B48" s="194" t="s">
        <v>518</v>
      </c>
      <c r="D48" s="298" t="str">
        <f t="shared" si="0"/>
        <v>31-Dry Beans</v>
      </c>
      <c r="E48" s="299" t="str">
        <f t="shared" si="1"/>
        <v>-</v>
      </c>
      <c r="F48" s="194" t="s">
        <v>518</v>
      </c>
      <c r="H48" s="195" t="str">
        <f t="shared" si="2"/>
        <v>53-Soybeans</v>
      </c>
      <c r="I48" s="194" t="s">
        <v>518</v>
      </c>
      <c r="L48" s="25">
        <v>16</v>
      </c>
      <c r="M48" s="25" t="s">
        <v>23</v>
      </c>
      <c r="N48" s="25" t="s">
        <v>519</v>
      </c>
    </row>
    <row r="49" spans="1:14" x14ac:dyDescent="0.2">
      <c r="A49" s="195" t="str">
        <f t="shared" si="3"/>
        <v>9-Alfalfa</v>
      </c>
      <c r="B49" s="194" t="s">
        <v>519</v>
      </c>
      <c r="D49" s="298" t="str">
        <f t="shared" si="0"/>
        <v>32-Dry Beans</v>
      </c>
      <c r="E49" s="299" t="str">
        <f t="shared" si="1"/>
        <v>-</v>
      </c>
      <c r="F49" s="194" t="s">
        <v>519</v>
      </c>
      <c r="H49" s="195" t="str">
        <f t="shared" si="2"/>
        <v>54-Sugar Beets</v>
      </c>
      <c r="I49" s="194" t="s">
        <v>519</v>
      </c>
      <c r="L49" s="25">
        <v>17</v>
      </c>
      <c r="M49" s="25" t="s">
        <v>23</v>
      </c>
      <c r="N49" s="25" t="s">
        <v>519</v>
      </c>
    </row>
    <row r="50" spans="1:14" x14ac:dyDescent="0.2">
      <c r="A50" s="195" t="str">
        <f t="shared" si="3"/>
        <v>10-Alfalfa</v>
      </c>
      <c r="B50" s="194" t="s">
        <v>519</v>
      </c>
      <c r="D50" s="298" t="str">
        <f t="shared" si="0"/>
        <v>33-Dry Beans</v>
      </c>
      <c r="E50" s="299" t="str">
        <f t="shared" si="1"/>
        <v>-</v>
      </c>
      <c r="F50" s="194" t="s">
        <v>519</v>
      </c>
      <c r="H50" s="195" t="str">
        <f t="shared" si="2"/>
        <v>55-Sugar Beets</v>
      </c>
      <c r="I50" s="194" t="s">
        <v>519</v>
      </c>
      <c r="L50" s="25">
        <v>18</v>
      </c>
      <c r="M50" s="25" t="s">
        <v>23</v>
      </c>
      <c r="N50" s="25" t="s">
        <v>519</v>
      </c>
    </row>
    <row r="51" spans="1:14" x14ac:dyDescent="0.2">
      <c r="A51" s="195" t="str">
        <f t="shared" si="3"/>
        <v>11-Alfalfa</v>
      </c>
      <c r="B51" s="194" t="s">
        <v>519</v>
      </c>
      <c r="D51" s="298" t="str">
        <f t="shared" si="0"/>
        <v>34-Grain Sorghum</v>
      </c>
      <c r="E51" s="299" t="str">
        <f t="shared" si="1"/>
        <v>-</v>
      </c>
      <c r="F51" s="194" t="s">
        <v>519</v>
      </c>
      <c r="H51" s="195" t="str">
        <f t="shared" si="2"/>
        <v>56-Sugar Beets</v>
      </c>
      <c r="I51" s="194" t="s">
        <v>519</v>
      </c>
      <c r="L51" s="25">
        <v>19</v>
      </c>
      <c r="M51" s="25" t="s">
        <v>23</v>
      </c>
      <c r="N51" s="25" t="s">
        <v>524</v>
      </c>
    </row>
    <row r="52" spans="1:14" x14ac:dyDescent="0.2">
      <c r="A52" s="195" t="str">
        <f t="shared" si="3"/>
        <v>12-Alfalfa</v>
      </c>
      <c r="B52" s="194" t="s">
        <v>519</v>
      </c>
      <c r="D52" s="298" t="str">
        <f t="shared" si="0"/>
        <v>35-Grain Sorghum</v>
      </c>
      <c r="E52" s="299" t="str">
        <f t="shared" si="1"/>
        <v>-</v>
      </c>
      <c r="F52" s="194" t="s">
        <v>519</v>
      </c>
      <c r="H52" s="195" t="str">
        <f t="shared" si="2"/>
        <v>57-Sugar Beets</v>
      </c>
      <c r="I52" s="194" t="s">
        <v>519</v>
      </c>
      <c r="L52" s="25">
        <v>20</v>
      </c>
      <c r="M52" s="25" t="s">
        <v>23</v>
      </c>
      <c r="N52" s="25" t="s">
        <v>519</v>
      </c>
    </row>
    <row r="53" spans="1:14" x14ac:dyDescent="0.2">
      <c r="A53" s="195" t="str">
        <f t="shared" si="3"/>
        <v>13-Alfalfa</v>
      </c>
      <c r="B53" s="194" t="s">
        <v>519</v>
      </c>
      <c r="D53" s="298" t="str">
        <f t="shared" si="0"/>
        <v>36-Grain Sorghum</v>
      </c>
      <c r="E53" s="299" t="str">
        <f t="shared" si="1"/>
        <v>-</v>
      </c>
      <c r="F53" s="194" t="s">
        <v>519</v>
      </c>
      <c r="H53" s="195" t="str">
        <f t="shared" si="2"/>
        <v>58-Sunflower</v>
      </c>
      <c r="I53" s="194" t="s">
        <v>519</v>
      </c>
      <c r="L53" s="25">
        <v>21</v>
      </c>
      <c r="M53" s="25" t="s">
        <v>23</v>
      </c>
      <c r="N53" s="25" t="s">
        <v>519</v>
      </c>
    </row>
    <row r="54" spans="1:14" x14ac:dyDescent="0.2">
      <c r="A54" s="195" t="str">
        <f t="shared" si="3"/>
        <v>14-Alfalfa</v>
      </c>
      <c r="B54" s="194" t="s">
        <v>519</v>
      </c>
      <c r="D54" s="298" t="str">
        <f t="shared" si="0"/>
        <v>37-Grain Sorghum</v>
      </c>
      <c r="E54" s="299" t="str">
        <f t="shared" si="1"/>
        <v>-</v>
      </c>
      <c r="F54" s="194" t="s">
        <v>519</v>
      </c>
      <c r="H54" s="195" t="str">
        <f t="shared" si="2"/>
        <v>59-Sunflower</v>
      </c>
      <c r="I54" s="194" t="s">
        <v>519</v>
      </c>
      <c r="L54" s="25">
        <v>22</v>
      </c>
      <c r="M54" s="25" t="s">
        <v>23</v>
      </c>
      <c r="N54" s="25" t="s">
        <v>519</v>
      </c>
    </row>
    <row r="55" spans="1:14" x14ac:dyDescent="0.2">
      <c r="A55" s="195" t="str">
        <f t="shared" si="3"/>
        <v>15-Corn</v>
      </c>
      <c r="B55" s="194" t="s">
        <v>519</v>
      </c>
      <c r="D55" s="298" t="str">
        <f t="shared" si="0"/>
        <v>38-Grass</v>
      </c>
      <c r="E55" s="299" t="str">
        <f t="shared" si="1"/>
        <v>-</v>
      </c>
      <c r="F55" s="194" t="s">
        <v>519</v>
      </c>
      <c r="H55" s="195" t="str">
        <f t="shared" si="2"/>
        <v>60-Sunflower</v>
      </c>
      <c r="I55" s="194" t="s">
        <v>519</v>
      </c>
      <c r="L55" s="25">
        <v>23</v>
      </c>
      <c r="M55" s="25" t="s">
        <v>23</v>
      </c>
      <c r="N55" s="25" t="s">
        <v>519</v>
      </c>
    </row>
    <row r="56" spans="1:14" x14ac:dyDescent="0.2">
      <c r="A56" s="195" t="str">
        <f t="shared" si="3"/>
        <v>16-Corn</v>
      </c>
      <c r="B56" s="194" t="s">
        <v>519</v>
      </c>
      <c r="D56" s="298" t="str">
        <f t="shared" si="0"/>
        <v>39-Grass Hay</v>
      </c>
      <c r="E56" s="299" t="str">
        <f t="shared" si="1"/>
        <v>-</v>
      </c>
      <c r="F56" s="194" t="s">
        <v>519</v>
      </c>
      <c r="H56" s="195" t="str">
        <f t="shared" si="2"/>
        <v>61-Wheat</v>
      </c>
      <c r="I56" s="194" t="s">
        <v>519</v>
      </c>
      <c r="L56" s="25">
        <v>24</v>
      </c>
      <c r="M56" s="25" t="s">
        <v>23</v>
      </c>
      <c r="N56" s="25" t="s">
        <v>519</v>
      </c>
    </row>
    <row r="57" spans="1:14" x14ac:dyDescent="0.2">
      <c r="A57" s="195" t="str">
        <f t="shared" si="3"/>
        <v>17-Corn</v>
      </c>
      <c r="B57" s="194" t="s">
        <v>519</v>
      </c>
      <c r="D57" s="298" t="str">
        <f t="shared" si="0"/>
        <v>40-Millet</v>
      </c>
      <c r="E57" s="299" t="str">
        <f t="shared" si="1"/>
        <v>-</v>
      </c>
      <c r="F57" s="194" t="s">
        <v>519</v>
      </c>
      <c r="H57" s="195" t="str">
        <f t="shared" si="2"/>
        <v>62-Wheat</v>
      </c>
      <c r="I57" s="194" t="s">
        <v>519</v>
      </c>
      <c r="L57" s="25">
        <v>25</v>
      </c>
      <c r="M57" s="25" t="s">
        <v>23</v>
      </c>
      <c r="N57" s="25" t="s">
        <v>519</v>
      </c>
    </row>
    <row r="58" spans="1:14" x14ac:dyDescent="0.2">
      <c r="A58" s="195" t="str">
        <f t="shared" si="3"/>
        <v>18-Corn</v>
      </c>
      <c r="B58" s="194" t="s">
        <v>519</v>
      </c>
      <c r="D58" s="298" t="str">
        <f t="shared" si="0"/>
        <v>41-Millet</v>
      </c>
      <c r="E58" s="299" t="str">
        <f t="shared" si="1"/>
        <v>-</v>
      </c>
      <c r="F58" s="194" t="s">
        <v>519</v>
      </c>
      <c r="H58" s="195" t="str">
        <f t="shared" si="2"/>
        <v>63-Wheat</v>
      </c>
      <c r="I58" s="194" t="s">
        <v>519</v>
      </c>
      <c r="L58" s="25">
        <v>26</v>
      </c>
      <c r="M58" s="25" t="s">
        <v>23</v>
      </c>
      <c r="N58" s="25" t="s">
        <v>519</v>
      </c>
    </row>
    <row r="59" spans="1:14" x14ac:dyDescent="0.2">
      <c r="A59" s="195" t="str">
        <f t="shared" si="3"/>
        <v>19-Corn</v>
      </c>
      <c r="B59" s="194" t="s">
        <v>519</v>
      </c>
      <c r="D59" s="298" t="str">
        <f t="shared" si="0"/>
        <v>42-Oats</v>
      </c>
      <c r="E59" s="299" t="str">
        <f t="shared" si="1"/>
        <v>-</v>
      </c>
      <c r="F59" s="194" t="s">
        <v>519</v>
      </c>
      <c r="H59" s="195" t="str">
        <f t="shared" si="2"/>
        <v>64-Wheat</v>
      </c>
      <c r="I59" s="194" t="s">
        <v>519</v>
      </c>
      <c r="L59" s="25">
        <v>27</v>
      </c>
      <c r="M59" s="25" t="s">
        <v>23</v>
      </c>
      <c r="N59" s="25" t="s">
        <v>519</v>
      </c>
    </row>
    <row r="60" spans="1:14" x14ac:dyDescent="0.2">
      <c r="A60" s="195" t="str">
        <f t="shared" si="3"/>
        <v>20-Corn</v>
      </c>
      <c r="B60" s="194" t="s">
        <v>519</v>
      </c>
      <c r="D60" s="298" t="str">
        <f t="shared" si="0"/>
        <v>43-Pasture</v>
      </c>
      <c r="E60" s="299" t="str">
        <f t="shared" si="1"/>
        <v>-</v>
      </c>
      <c r="F60" s="194" t="s">
        <v>519</v>
      </c>
      <c r="H60" s="195" t="str">
        <f t="shared" si="2"/>
        <v>65-Wheat</v>
      </c>
      <c r="I60" s="194" t="s">
        <v>519</v>
      </c>
      <c r="L60" s="25">
        <v>28</v>
      </c>
      <c r="M60" s="25" t="s">
        <v>23</v>
      </c>
      <c r="N60" s="25" t="s">
        <v>519</v>
      </c>
    </row>
    <row r="61" spans="1:14" x14ac:dyDescent="0.2">
      <c r="A61" s="195" t="str">
        <f t="shared" si="3"/>
        <v>21-Corn</v>
      </c>
      <c r="B61" s="194" t="s">
        <v>520</v>
      </c>
      <c r="D61" s="298" t="str">
        <f t="shared" si="0"/>
        <v>44-Peas</v>
      </c>
      <c r="E61" s="299" t="str">
        <f t="shared" si="1"/>
        <v>-</v>
      </c>
      <c r="F61" s="194" t="s">
        <v>520</v>
      </c>
      <c r="H61" s="195" t="str">
        <f t="shared" si="2"/>
        <v>66-Wheat</v>
      </c>
      <c r="I61" s="194" t="s">
        <v>520</v>
      </c>
      <c r="L61" s="25">
        <v>29</v>
      </c>
      <c r="M61" s="25" t="s">
        <v>23</v>
      </c>
      <c r="N61" s="25" t="s">
        <v>519</v>
      </c>
    </row>
    <row r="62" spans="1:14" x14ac:dyDescent="0.2">
      <c r="A62" s="195" t="str">
        <f t="shared" si="3"/>
        <v>22-Corn</v>
      </c>
      <c r="B62" s="194" t="s">
        <v>520</v>
      </c>
      <c r="D62" s="298" t="str">
        <f t="shared" si="0"/>
        <v>45-Sorghum-Sudan</v>
      </c>
      <c r="E62" s="299" t="str">
        <f t="shared" si="1"/>
        <v>-</v>
      </c>
      <c r="F62" s="194" t="s">
        <v>520</v>
      </c>
      <c r="H62" s="195" t="str">
        <f t="shared" si="2"/>
        <v>67-Wheat</v>
      </c>
      <c r="I62" s="194" t="s">
        <v>520</v>
      </c>
      <c r="L62" s="25">
        <v>30</v>
      </c>
      <c r="M62" s="25" t="s">
        <v>585</v>
      </c>
      <c r="N62" s="25" t="s">
        <v>520</v>
      </c>
    </row>
    <row r="63" spans="1:14" x14ac:dyDescent="0.2">
      <c r="A63" s="195" t="str">
        <f t="shared" si="3"/>
        <v>23-Corn</v>
      </c>
      <c r="B63" s="194" t="s">
        <v>520</v>
      </c>
      <c r="L63" s="25">
        <v>31</v>
      </c>
      <c r="M63" s="25" t="s">
        <v>585</v>
      </c>
      <c r="N63" s="25" t="s">
        <v>520</v>
      </c>
    </row>
    <row r="64" spans="1:14" x14ac:dyDescent="0.2">
      <c r="L64" s="25">
        <v>32</v>
      </c>
      <c r="M64" s="25" t="s">
        <v>585</v>
      </c>
      <c r="N64" s="25" t="s">
        <v>520</v>
      </c>
    </row>
    <row r="65" spans="12:14" x14ac:dyDescent="0.2">
      <c r="L65" s="25">
        <v>33</v>
      </c>
      <c r="M65" s="25" t="s">
        <v>585</v>
      </c>
      <c r="N65" s="25" t="s">
        <v>520</v>
      </c>
    </row>
    <row r="66" spans="12:14" x14ac:dyDescent="0.2">
      <c r="L66" s="25">
        <v>34</v>
      </c>
      <c r="M66" s="25" t="s">
        <v>586</v>
      </c>
      <c r="N66" s="25" t="s">
        <v>521</v>
      </c>
    </row>
    <row r="67" spans="12:14" x14ac:dyDescent="0.2">
      <c r="L67" s="25">
        <v>35</v>
      </c>
      <c r="M67" s="25" t="s">
        <v>586</v>
      </c>
      <c r="N67" s="25" t="s">
        <v>521</v>
      </c>
    </row>
    <row r="68" spans="12:14" x14ac:dyDescent="0.2">
      <c r="L68" s="25">
        <v>36</v>
      </c>
      <c r="M68" s="25" t="s">
        <v>586</v>
      </c>
      <c r="N68" s="25" t="s">
        <v>521</v>
      </c>
    </row>
    <row r="69" spans="12:14" x14ac:dyDescent="0.2">
      <c r="L69" s="25">
        <v>37</v>
      </c>
      <c r="M69" s="25" t="s">
        <v>586</v>
      </c>
      <c r="N69" s="25" t="s">
        <v>521</v>
      </c>
    </row>
    <row r="70" spans="12:14" x14ac:dyDescent="0.2">
      <c r="L70" s="25">
        <v>38</v>
      </c>
      <c r="M70" s="25" t="s">
        <v>587</v>
      </c>
      <c r="N70" s="25" t="s">
        <v>518</v>
      </c>
    </row>
    <row r="71" spans="12:14" x14ac:dyDescent="0.2">
      <c r="L71" s="25">
        <v>39</v>
      </c>
      <c r="M71" s="25" t="s">
        <v>588</v>
      </c>
      <c r="N71" s="25" t="s">
        <v>518</v>
      </c>
    </row>
    <row r="72" spans="12:14" x14ac:dyDescent="0.2">
      <c r="L72" s="25">
        <v>40</v>
      </c>
      <c r="M72" s="25" t="s">
        <v>43</v>
      </c>
      <c r="N72" s="25" t="s">
        <v>520</v>
      </c>
    </row>
    <row r="73" spans="12:14" x14ac:dyDescent="0.2">
      <c r="L73" s="25">
        <v>41</v>
      </c>
      <c r="M73" s="25" t="s">
        <v>43</v>
      </c>
      <c r="N73" s="25" t="s">
        <v>520</v>
      </c>
    </row>
    <row r="74" spans="12:14" x14ac:dyDescent="0.2">
      <c r="L74" s="25">
        <v>42</v>
      </c>
      <c r="M74" s="25" t="s">
        <v>46</v>
      </c>
      <c r="N74" s="25" t="s">
        <v>522</v>
      </c>
    </row>
    <row r="75" spans="12:14" x14ac:dyDescent="0.2">
      <c r="L75" s="25">
        <v>43</v>
      </c>
      <c r="M75" s="25" t="s">
        <v>589</v>
      </c>
      <c r="N75" s="25" t="s">
        <v>518</v>
      </c>
    </row>
    <row r="76" spans="12:14" x14ac:dyDescent="0.2">
      <c r="L76" s="25">
        <v>44</v>
      </c>
      <c r="M76" s="25" t="s">
        <v>560</v>
      </c>
      <c r="N76" s="25" t="s">
        <v>518</v>
      </c>
    </row>
    <row r="77" spans="12:14" x14ac:dyDescent="0.2">
      <c r="L77" s="25">
        <v>45</v>
      </c>
      <c r="M77" s="25" t="s">
        <v>590</v>
      </c>
      <c r="N77" s="25" t="s">
        <v>518</v>
      </c>
    </row>
    <row r="78" spans="12:14" x14ac:dyDescent="0.2">
      <c r="L78" s="25">
        <v>46</v>
      </c>
      <c r="M78" s="25" t="s">
        <v>591</v>
      </c>
      <c r="N78" s="25" t="s">
        <v>519</v>
      </c>
    </row>
    <row r="79" spans="12:14" x14ac:dyDescent="0.2">
      <c r="L79" s="25">
        <v>47</v>
      </c>
      <c r="M79" s="25" t="s">
        <v>591</v>
      </c>
      <c r="N79" s="25" t="s">
        <v>519</v>
      </c>
    </row>
    <row r="80" spans="12:14" x14ac:dyDescent="0.2">
      <c r="L80" s="25">
        <v>48</v>
      </c>
      <c r="M80" s="25" t="s">
        <v>591</v>
      </c>
      <c r="N80" s="25" t="s">
        <v>519</v>
      </c>
    </row>
    <row r="81" spans="12:14" x14ac:dyDescent="0.2">
      <c r="L81" s="25">
        <v>49</v>
      </c>
      <c r="M81" s="25" t="s">
        <v>591</v>
      </c>
      <c r="N81" s="25" t="s">
        <v>519</v>
      </c>
    </row>
    <row r="82" spans="12:14" x14ac:dyDescent="0.2">
      <c r="L82" s="25">
        <v>50</v>
      </c>
      <c r="M82" s="25" t="s">
        <v>591</v>
      </c>
      <c r="N82" s="25" t="s">
        <v>519</v>
      </c>
    </row>
    <row r="83" spans="12:14" x14ac:dyDescent="0.2">
      <c r="L83" s="25">
        <v>51</v>
      </c>
      <c r="M83" s="25" t="s">
        <v>591</v>
      </c>
      <c r="N83" s="25" t="s">
        <v>519</v>
      </c>
    </row>
    <row r="84" spans="12:14" x14ac:dyDescent="0.2">
      <c r="L84" s="25">
        <v>52</v>
      </c>
      <c r="M84" s="25" t="s">
        <v>591</v>
      </c>
      <c r="N84" s="25" t="s">
        <v>519</v>
      </c>
    </row>
    <row r="85" spans="12:14" x14ac:dyDescent="0.2">
      <c r="L85" s="25">
        <v>53</v>
      </c>
      <c r="M85" s="25" t="s">
        <v>591</v>
      </c>
      <c r="N85" s="25" t="s">
        <v>519</v>
      </c>
    </row>
    <row r="86" spans="12:14" x14ac:dyDescent="0.2">
      <c r="L86" s="25">
        <v>54</v>
      </c>
      <c r="M86" s="25" t="s">
        <v>508</v>
      </c>
      <c r="N86" s="25" t="s">
        <v>523</v>
      </c>
    </row>
    <row r="87" spans="12:14" x14ac:dyDescent="0.2">
      <c r="L87" s="25">
        <v>55</v>
      </c>
      <c r="M87" s="25" t="s">
        <v>508</v>
      </c>
      <c r="N87" s="25" t="s">
        <v>523</v>
      </c>
    </row>
    <row r="88" spans="12:14" x14ac:dyDescent="0.2">
      <c r="L88" s="25">
        <v>56</v>
      </c>
      <c r="M88" s="25" t="s">
        <v>508</v>
      </c>
      <c r="N88" s="25" t="s">
        <v>523</v>
      </c>
    </row>
    <row r="89" spans="12:14" x14ac:dyDescent="0.2">
      <c r="L89" s="25">
        <v>57</v>
      </c>
      <c r="M89" s="25" t="s">
        <v>508</v>
      </c>
      <c r="N89" s="25" t="s">
        <v>523</v>
      </c>
    </row>
    <row r="90" spans="12:14" x14ac:dyDescent="0.2">
      <c r="L90" s="25">
        <v>58</v>
      </c>
      <c r="M90" s="25" t="s">
        <v>58</v>
      </c>
      <c r="N90" s="25" t="s">
        <v>524</v>
      </c>
    </row>
    <row r="91" spans="12:14" x14ac:dyDescent="0.2">
      <c r="L91" s="25">
        <v>59</v>
      </c>
      <c r="M91" s="25" t="s">
        <v>58</v>
      </c>
      <c r="N91" s="25" t="s">
        <v>524</v>
      </c>
    </row>
    <row r="92" spans="12:14" x14ac:dyDescent="0.2">
      <c r="L92" s="25">
        <v>60</v>
      </c>
      <c r="M92" s="25" t="s">
        <v>58</v>
      </c>
      <c r="N92" s="25" t="s">
        <v>524</v>
      </c>
    </row>
    <row r="93" spans="12:14" x14ac:dyDescent="0.2">
      <c r="L93" s="25">
        <v>61</v>
      </c>
      <c r="M93" s="25" t="s">
        <v>592</v>
      </c>
      <c r="N93" s="25" t="s">
        <v>525</v>
      </c>
    </row>
    <row r="94" spans="12:14" x14ac:dyDescent="0.2">
      <c r="L94" s="25">
        <v>62</v>
      </c>
      <c r="M94" s="25" t="s">
        <v>592</v>
      </c>
      <c r="N94" s="25" t="s">
        <v>525</v>
      </c>
    </row>
    <row r="95" spans="12:14" x14ac:dyDescent="0.2">
      <c r="L95" s="25">
        <v>63</v>
      </c>
      <c r="M95" s="25" t="s">
        <v>592</v>
      </c>
      <c r="N95" s="25" t="s">
        <v>525</v>
      </c>
    </row>
    <row r="96" spans="12:14" x14ac:dyDescent="0.2">
      <c r="L96" s="25">
        <v>64</v>
      </c>
      <c r="M96" s="25" t="s">
        <v>592</v>
      </c>
      <c r="N96" s="25" t="s">
        <v>525</v>
      </c>
    </row>
    <row r="97" spans="12:14" x14ac:dyDescent="0.2">
      <c r="L97" s="25">
        <v>65</v>
      </c>
      <c r="M97" s="25" t="s">
        <v>592</v>
      </c>
      <c r="N97" s="25" t="s">
        <v>525</v>
      </c>
    </row>
    <row r="98" spans="12:14" x14ac:dyDescent="0.2">
      <c r="L98" s="25">
        <v>66</v>
      </c>
      <c r="M98" s="25" t="s">
        <v>592</v>
      </c>
      <c r="N98" s="25" t="s">
        <v>525</v>
      </c>
    </row>
    <row r="99" spans="12:14" x14ac:dyDescent="0.2">
      <c r="L99" s="25">
        <v>67</v>
      </c>
      <c r="M99" s="25" t="s">
        <v>592</v>
      </c>
      <c r="N99" s="25" t="s">
        <v>525</v>
      </c>
    </row>
  </sheetData>
  <sortState ref="A16:A28">
    <sortCondition ref="A3"/>
  </sortState>
  <mergeCells count="24">
    <mergeCell ref="D46:E46"/>
    <mergeCell ref="D62:E62"/>
    <mergeCell ref="D53:E53"/>
    <mergeCell ref="D54:E54"/>
    <mergeCell ref="D55:E55"/>
    <mergeCell ref="D56:E56"/>
    <mergeCell ref="D57:E57"/>
    <mergeCell ref="D58:E58"/>
    <mergeCell ref="D40:E40"/>
    <mergeCell ref="A1:I1"/>
    <mergeCell ref="D59:E59"/>
    <mergeCell ref="D60:E60"/>
    <mergeCell ref="D61:E61"/>
    <mergeCell ref="D47:E47"/>
    <mergeCell ref="D48:E48"/>
    <mergeCell ref="D49:E49"/>
    <mergeCell ref="D50:E50"/>
    <mergeCell ref="D51:E51"/>
    <mergeCell ref="D52:E52"/>
    <mergeCell ref="D41:E41"/>
    <mergeCell ref="D42:E42"/>
    <mergeCell ref="D43:E43"/>
    <mergeCell ref="D44:E44"/>
    <mergeCell ref="D45:E45"/>
  </mergeCells>
  <pageMargins left="0.7" right="0.7" top="0.75" bottom="0.75" header="0.3" footer="0.3"/>
  <pageSetup scale="8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dimension ref="A1:AB13"/>
  <sheetViews>
    <sheetView workbookViewId="0">
      <selection sqref="A1:I1"/>
    </sheetView>
  </sheetViews>
  <sheetFormatPr defaultRowHeight="12.75" x14ac:dyDescent="0.2"/>
  <cols>
    <col min="1" max="1" width="20.7109375" style="84" customWidth="1"/>
    <col min="2" max="2" width="30.5703125" style="84" customWidth="1"/>
    <col min="3" max="3" width="35" style="84" customWidth="1"/>
    <col min="4" max="5" width="11.5703125" style="84" customWidth="1"/>
    <col min="6" max="6" width="13.28515625" style="84" customWidth="1"/>
    <col min="7" max="7" width="13.7109375" style="84" customWidth="1"/>
    <col min="8" max="9" width="11.7109375" style="84" customWidth="1"/>
    <col min="10" max="10" width="10.28515625" style="84" customWidth="1"/>
    <col min="11" max="11" width="13.28515625" style="84" customWidth="1"/>
    <col min="12" max="12" width="14" style="84" customWidth="1"/>
    <col min="13" max="13" width="12.28515625" style="84" customWidth="1"/>
    <col min="14" max="14" width="9.85546875" style="84" customWidth="1"/>
    <col min="15" max="16" width="11.7109375" style="84" customWidth="1"/>
    <col min="17" max="17" width="32.85546875" style="84" bestFit="1" customWidth="1"/>
    <col min="18" max="18" width="35.5703125" style="84" customWidth="1"/>
    <col min="19" max="19" width="18.42578125" style="84" customWidth="1"/>
    <col min="20" max="20" width="12.28515625" style="84" customWidth="1"/>
    <col min="21" max="21" width="16" style="84" customWidth="1"/>
    <col min="22" max="22" width="11" style="84" customWidth="1"/>
    <col min="23" max="23" width="25.28515625" style="84" bestFit="1" customWidth="1"/>
    <col min="24" max="24" width="26.5703125" style="84" customWidth="1"/>
    <col min="25" max="25" width="42.140625" style="84" customWidth="1"/>
    <col min="26" max="26" width="6.7109375" style="84" customWidth="1"/>
    <col min="27" max="27" width="7.85546875" style="84" customWidth="1"/>
    <col min="28" max="16384" width="9.140625" style="84"/>
  </cols>
  <sheetData>
    <row r="1" spans="1:28" ht="47.25" customHeight="1" x14ac:dyDescent="0.25">
      <c r="A1" s="79" t="s">
        <v>107</v>
      </c>
      <c r="B1" s="80" t="s">
        <v>105</v>
      </c>
      <c r="C1" s="81" t="s">
        <v>106</v>
      </c>
      <c r="D1" s="81" t="s">
        <v>102</v>
      </c>
      <c r="E1" s="82" t="s">
        <v>363</v>
      </c>
      <c r="F1" s="81" t="s">
        <v>103</v>
      </c>
      <c r="G1" s="81" t="s">
        <v>271</v>
      </c>
      <c r="H1" s="83" t="s">
        <v>364</v>
      </c>
      <c r="I1" s="82" t="s">
        <v>365</v>
      </c>
      <c r="J1" s="82" t="s">
        <v>272</v>
      </c>
      <c r="K1" s="82" t="s">
        <v>366</v>
      </c>
      <c r="L1" s="82" t="s">
        <v>367</v>
      </c>
      <c r="M1" s="82" t="s">
        <v>273</v>
      </c>
      <c r="N1" s="82" t="s">
        <v>370</v>
      </c>
      <c r="O1" s="82" t="s">
        <v>371</v>
      </c>
      <c r="P1" s="82" t="s">
        <v>372</v>
      </c>
      <c r="R1" s="85" t="s">
        <v>109</v>
      </c>
      <c r="S1" s="86" t="s">
        <v>110</v>
      </c>
      <c r="T1" s="86" t="s">
        <v>111</v>
      </c>
      <c r="U1" s="86" t="s">
        <v>112</v>
      </c>
      <c r="V1" s="87" t="s">
        <v>113</v>
      </c>
      <c r="X1" s="3" t="s">
        <v>209</v>
      </c>
      <c r="Y1" s="3" t="s">
        <v>109</v>
      </c>
      <c r="Z1" s="3" t="s">
        <v>210</v>
      </c>
      <c r="AA1" s="3" t="s">
        <v>211</v>
      </c>
      <c r="AB1" s="3" t="s">
        <v>212</v>
      </c>
    </row>
    <row r="2" spans="1:28" ht="15.75" x14ac:dyDescent="0.25">
      <c r="A2" s="73" t="s">
        <v>467</v>
      </c>
      <c r="B2" s="74" t="s">
        <v>275</v>
      </c>
      <c r="C2" s="75" t="s">
        <v>277</v>
      </c>
      <c r="D2" s="76">
        <v>317791</v>
      </c>
      <c r="E2" s="77"/>
      <c r="F2" s="77">
        <v>10</v>
      </c>
      <c r="G2" s="77">
        <v>1500</v>
      </c>
      <c r="H2" s="77">
        <v>300</v>
      </c>
      <c r="I2" s="88">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2" s="8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3.1461309000000015</v>
      </c>
      <c r="K2" s="8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87959.338176412697</v>
      </c>
      <c r="L2" s="8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79674.011818729225</v>
      </c>
      <c r="M2" s="89">
        <f>IF(PowerUnits[[#This Row],[Est. Hours per Year]]=0,0,(PowerUnits[[#This Row],[Calculated Beg Yr. Value]]-PowerUnits[[#This Row],[Calculated End Yr. Value]])/PowerUnits[[#This Row],[Est. Hours per Year]])</f>
        <v>27.617754525611574</v>
      </c>
      <c r="N2" s="89">
        <f>IF(PowerUnits[[#This Row],[Est. Hours per Year]]=0,0,PowerUnits[[#This Row],[Calculated Beg Yr. Value]]*'General Variables'!$B$9/PowerUnits[[#This Row],[Est. Hours per Year]])</f>
        <v>5.8639558784275136</v>
      </c>
      <c r="O2" s="89">
        <f>IF(PowerUnits[[#This Row],[Est. Hours per Year]]=0,0,PowerUnits[[#This Row],[Calculated Beg Yr. Value]]*'General Variables'!$B$10/PowerUnits[[#This Row],[Est. Hours per Year]])</f>
        <v>11.727911756855027</v>
      </c>
      <c r="P2" s="89">
        <f>SUM(PowerUnits[[#This Row],[Depreciation per Hour]:[Opportunity Cost per Hour]])</f>
        <v>45.209622160894114</v>
      </c>
      <c r="R2" s="90" t="s">
        <v>114</v>
      </c>
      <c r="S2" s="91" t="s">
        <v>115</v>
      </c>
      <c r="T2" s="92" t="s">
        <v>116</v>
      </c>
      <c r="U2" s="92" t="s">
        <v>117</v>
      </c>
      <c r="V2" s="93">
        <v>12000</v>
      </c>
      <c r="X2" s="3" t="s">
        <v>213</v>
      </c>
      <c r="Y2" s="3" t="s">
        <v>214</v>
      </c>
      <c r="Z2" s="3" t="s">
        <v>215</v>
      </c>
      <c r="AA2" s="3" t="s">
        <v>216</v>
      </c>
      <c r="AB2" s="3" t="s">
        <v>217</v>
      </c>
    </row>
    <row r="3" spans="1:28" ht="15.75" x14ac:dyDescent="0.25">
      <c r="A3" s="73" t="s">
        <v>468</v>
      </c>
      <c r="B3" s="74" t="s">
        <v>114</v>
      </c>
      <c r="C3" s="75" t="s">
        <v>277</v>
      </c>
      <c r="D3" s="76">
        <v>213972</v>
      </c>
      <c r="E3" s="77"/>
      <c r="F3" s="77">
        <v>5</v>
      </c>
      <c r="G3" s="77">
        <v>2500</v>
      </c>
      <c r="H3" s="77">
        <v>500</v>
      </c>
      <c r="I3" s="88">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213972</v>
      </c>
      <c r="J3" s="8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8.2379219999999993</v>
      </c>
      <c r="K3" s="8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80905.324934671822</v>
      </c>
      <c r="L3" s="8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72090.286697143063</v>
      </c>
      <c r="M3" s="89">
        <f>IF(PowerUnits[[#This Row],[Est. Hours per Year]]=0,0,(PowerUnits[[#This Row],[Calculated Beg Yr. Value]]-PowerUnits[[#This Row],[Calculated End Yr. Value]])/PowerUnits[[#This Row],[Est. Hours per Year]])</f>
        <v>17.630076475057518</v>
      </c>
      <c r="N3" s="89">
        <f>IF(PowerUnits[[#This Row],[Est. Hours per Year]]=0,0,PowerUnits[[#This Row],[Calculated Beg Yr. Value]]*'General Variables'!$B$9/PowerUnits[[#This Row],[Est. Hours per Year]])</f>
        <v>3.2362129973868727</v>
      </c>
      <c r="O3" s="89">
        <f>IF(PowerUnits[[#This Row],[Est. Hours per Year]]=0,0,PowerUnits[[#This Row],[Calculated Beg Yr. Value]]*'General Variables'!$B$10/PowerUnits[[#This Row],[Est. Hours per Year]])</f>
        <v>6.4724259947737455</v>
      </c>
      <c r="P3" s="89">
        <f>SUM(PowerUnits[[#This Row],[Depreciation per Hour]:[Opportunity Cost per Hour]])</f>
        <v>27.338715467218137</v>
      </c>
      <c r="R3" s="94" t="s">
        <v>118</v>
      </c>
      <c r="S3" s="94" t="s">
        <v>115</v>
      </c>
      <c r="T3" s="95" t="s">
        <v>119</v>
      </c>
      <c r="U3" s="95" t="s">
        <v>117</v>
      </c>
      <c r="V3" s="96">
        <v>16000</v>
      </c>
      <c r="X3" s="3" t="s">
        <v>213</v>
      </c>
      <c r="Y3" s="3" t="s">
        <v>218</v>
      </c>
      <c r="Z3" s="3" t="s">
        <v>219</v>
      </c>
      <c r="AA3" s="3" t="s">
        <v>220</v>
      </c>
      <c r="AB3" s="3" t="s">
        <v>221</v>
      </c>
    </row>
    <row r="4" spans="1:28" ht="15.75" x14ac:dyDescent="0.25">
      <c r="A4" s="73" t="s">
        <v>269</v>
      </c>
      <c r="B4" s="74" t="s">
        <v>276</v>
      </c>
      <c r="C4" s="75" t="s">
        <v>274</v>
      </c>
      <c r="D4" s="76">
        <v>317791</v>
      </c>
      <c r="E4" s="77"/>
      <c r="F4" s="77">
        <v>10</v>
      </c>
      <c r="G4" s="77">
        <v>1500</v>
      </c>
      <c r="H4" s="77">
        <v>300</v>
      </c>
      <c r="I4" s="88">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4" s="8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46.314722056275833</v>
      </c>
      <c r="K4" s="8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29418.941200367502</v>
      </c>
      <c r="L4" s="8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19796.573343074626</v>
      </c>
      <c r="M4" s="89">
        <f>IF(PowerUnits[[#This Row],[Est. Hours per Year]]=0,0,(PowerUnits[[#This Row],[Calculated Beg Yr. Value]]-PowerUnits[[#This Row],[Calculated End Yr. Value]])/PowerUnits[[#This Row],[Est. Hours per Year]])</f>
        <v>32.074559524309592</v>
      </c>
      <c r="N4" s="89">
        <f>IF(PowerUnits[[#This Row],[Est. Hours per Year]]=0,0,PowerUnits[[#This Row],[Calculated Beg Yr. Value]]*'General Variables'!$B$9/PowerUnits[[#This Row],[Est. Hours per Year]])</f>
        <v>1.961262746691167</v>
      </c>
      <c r="O4" s="89">
        <f>IF(PowerUnits[[#This Row],[Est. Hours per Year]]=0,0,PowerUnits[[#This Row],[Calculated Beg Yr. Value]]*'General Variables'!$B$10/PowerUnits[[#This Row],[Est. Hours per Year]])</f>
        <v>3.9225254933823339</v>
      </c>
      <c r="P4" s="89">
        <f>SUM(PowerUnits[[#This Row],[Depreciation per Hour]:[Opportunity Cost per Hour]])</f>
        <v>37.958347764383092</v>
      </c>
      <c r="R4" s="94" t="s">
        <v>140</v>
      </c>
      <c r="S4" s="94" t="s">
        <v>121</v>
      </c>
      <c r="T4" s="95" t="s">
        <v>141</v>
      </c>
      <c r="U4" s="95" t="s">
        <v>142</v>
      </c>
      <c r="V4" s="96">
        <v>3000</v>
      </c>
      <c r="X4" s="3" t="s">
        <v>213</v>
      </c>
      <c r="Y4" s="3" t="s">
        <v>222</v>
      </c>
      <c r="Z4" s="3" t="s">
        <v>223</v>
      </c>
      <c r="AA4" s="3" t="s">
        <v>224</v>
      </c>
      <c r="AB4" s="3" t="s">
        <v>225</v>
      </c>
    </row>
    <row r="5" spans="1:28" ht="15.75" x14ac:dyDescent="0.25">
      <c r="A5" s="73" t="s">
        <v>330</v>
      </c>
      <c r="B5" s="74" t="s">
        <v>114</v>
      </c>
      <c r="C5" s="75" t="s">
        <v>433</v>
      </c>
      <c r="D5" s="76">
        <v>15000</v>
      </c>
      <c r="E5" s="78"/>
      <c r="F5" s="77">
        <v>10</v>
      </c>
      <c r="G5" s="77">
        <v>2400</v>
      </c>
      <c r="H5" s="77">
        <v>800</v>
      </c>
      <c r="I5" s="88">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5" s="8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5" s="8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5161.1484515032271</v>
      </c>
      <c r="L5" s="8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4789.7766466734492</v>
      </c>
      <c r="M5" s="89">
        <f>IF(PowerUnits[[#This Row],[Est. Hours per Year]]=0,0,(PowerUnits[[#This Row],[Calculated Beg Yr. Value]]-PowerUnits[[#This Row],[Calculated End Yr. Value]])/PowerUnits[[#This Row],[Est. Hours per Year]])</f>
        <v>0.46421475603722229</v>
      </c>
      <c r="N5" s="89">
        <f>IF(PowerUnits[[#This Row],[Est. Hours per Year]]=0,0,PowerUnits[[#This Row],[Calculated Beg Yr. Value]]*'General Variables'!$B$9/PowerUnits[[#This Row],[Est. Hours per Year]])</f>
        <v>0.12902871128758067</v>
      </c>
      <c r="O5" s="89">
        <f>IF(PowerUnits[[#This Row],[Est. Hours per Year]]=0,0,PowerUnits[[#This Row],[Calculated Beg Yr. Value]]*'General Variables'!$B$10/PowerUnits[[#This Row],[Est. Hours per Year]])</f>
        <v>0.25805742257516134</v>
      </c>
      <c r="P5" s="89">
        <f>SUM(PowerUnits[[#This Row],[Depreciation per Hour]:[Opportunity Cost per Hour]])</f>
        <v>0.85130088989996433</v>
      </c>
      <c r="R5" s="94" t="s">
        <v>145</v>
      </c>
      <c r="S5" s="94" t="s">
        <v>121</v>
      </c>
      <c r="T5" s="95" t="s">
        <v>146</v>
      </c>
      <c r="U5" s="95" t="s">
        <v>123</v>
      </c>
      <c r="V5" s="96">
        <v>3000</v>
      </c>
      <c r="X5" s="3" t="s">
        <v>226</v>
      </c>
      <c r="Y5" s="3" t="s">
        <v>227</v>
      </c>
      <c r="Z5" s="3" t="s">
        <v>228</v>
      </c>
      <c r="AA5" s="3" t="s">
        <v>229</v>
      </c>
      <c r="AB5" s="3" t="s">
        <v>230</v>
      </c>
    </row>
    <row r="6" spans="1:28" ht="15.75" x14ac:dyDescent="0.25">
      <c r="A6" s="73" t="s">
        <v>332</v>
      </c>
      <c r="B6" s="74" t="s">
        <v>270</v>
      </c>
      <c r="C6" s="75" t="s">
        <v>331</v>
      </c>
      <c r="D6" s="76">
        <v>10000</v>
      </c>
      <c r="E6" s="77"/>
      <c r="F6" s="77">
        <v>5</v>
      </c>
      <c r="G6" s="77">
        <v>2400</v>
      </c>
      <c r="H6" s="77">
        <v>800</v>
      </c>
      <c r="I6" s="88">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10000</v>
      </c>
      <c r="J6" s="8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0.50156750251008531</v>
      </c>
      <c r="K6" s="8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2390.2796988532896</v>
      </c>
      <c r="L6" s="8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1807.0993131451412</v>
      </c>
      <c r="M6" s="89">
        <f>IF(PowerUnits[[#This Row],[Est. Hours per Year]]=0,0,(PowerUnits[[#This Row],[Calculated Beg Yr. Value]]-PowerUnits[[#This Row],[Calculated End Yr. Value]])/PowerUnits[[#This Row],[Est. Hours per Year]])</f>
        <v>0.72897548213518548</v>
      </c>
      <c r="N6" s="89">
        <f>IF(PowerUnits[[#This Row],[Est. Hours per Year]]=0,0,PowerUnits[[#This Row],[Calculated Beg Yr. Value]]*'General Variables'!$B$9/PowerUnits[[#This Row],[Est. Hours per Year]])</f>
        <v>5.9756992471332239E-2</v>
      </c>
      <c r="O6" s="89">
        <f>IF(PowerUnits[[#This Row],[Est. Hours per Year]]=0,0,PowerUnits[[#This Row],[Calculated Beg Yr. Value]]*'General Variables'!$B$10/PowerUnits[[#This Row],[Est. Hours per Year]])</f>
        <v>0.11951398494266448</v>
      </c>
      <c r="P6" s="89">
        <f>SUM(PowerUnits[[#This Row],[Depreciation per Hour]:[Opportunity Cost per Hour]])</f>
        <v>0.90824645954918226</v>
      </c>
      <c r="R6" s="94" t="s">
        <v>165</v>
      </c>
      <c r="S6" s="94" t="s">
        <v>121</v>
      </c>
      <c r="T6" s="95" t="s">
        <v>166</v>
      </c>
      <c r="U6" s="95" t="s">
        <v>117</v>
      </c>
      <c r="V6" s="96">
        <v>4000</v>
      </c>
      <c r="X6" s="3" t="s">
        <v>226</v>
      </c>
      <c r="Y6" s="3" t="s">
        <v>237</v>
      </c>
      <c r="Z6" s="3" t="s">
        <v>238</v>
      </c>
      <c r="AA6" s="3" t="s">
        <v>239</v>
      </c>
      <c r="AB6" s="3"/>
    </row>
    <row r="7" spans="1:28" ht="15.75" x14ac:dyDescent="0.25">
      <c r="A7" s="73" t="s">
        <v>398</v>
      </c>
      <c r="B7" s="74" t="s">
        <v>114</v>
      </c>
      <c r="C7" s="75" t="s">
        <v>331</v>
      </c>
      <c r="D7" s="76">
        <v>15000</v>
      </c>
      <c r="E7" s="78"/>
      <c r="F7" s="77">
        <v>10</v>
      </c>
      <c r="G7" s="77">
        <v>2400</v>
      </c>
      <c r="H7" s="77">
        <v>800</v>
      </c>
      <c r="I7" s="88">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7" s="8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7" s="8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2433.3232841362474</v>
      </c>
      <c r="L7" s="8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1779.7526354351601</v>
      </c>
      <c r="M7" s="89">
        <f>IF(PowerUnits[[#This Row],[Est. Hours per Year]]=0,0,(PowerUnits[[#This Row],[Calculated Beg Yr. Value]]-PowerUnits[[#This Row],[Calculated End Yr. Value]])/PowerUnits[[#This Row],[Est. Hours per Year]])</f>
        <v>0.81696331087635909</v>
      </c>
      <c r="N7" s="89">
        <f>IF(PowerUnits[[#This Row],[Est. Hours per Year]]=0,0,PowerUnits[[#This Row],[Calculated Beg Yr. Value]]*'General Variables'!$B$9/PowerUnits[[#This Row],[Est. Hours per Year]])</f>
        <v>6.0833082103406183E-2</v>
      </c>
      <c r="O7" s="89">
        <f>IF(PowerUnits[[#This Row],[Est. Hours per Year]]=0,0,PowerUnits[[#This Row],[Calculated Beg Yr. Value]]*'General Variables'!$B$10/PowerUnits[[#This Row],[Est. Hours per Year]])</f>
        <v>0.12166616420681237</v>
      </c>
      <c r="P7" s="89">
        <f>SUM(PowerUnits[[#This Row],[Depreciation per Hour]:[Opportunity Cost per Hour]])</f>
        <v>0.99946255718657762</v>
      </c>
      <c r="R7" s="94" t="s">
        <v>194</v>
      </c>
      <c r="S7" s="94" t="s">
        <v>121</v>
      </c>
      <c r="T7" s="95" t="s">
        <v>195</v>
      </c>
      <c r="U7" s="95" t="s">
        <v>117</v>
      </c>
      <c r="V7" s="96">
        <v>3000</v>
      </c>
      <c r="X7" s="3" t="s">
        <v>247</v>
      </c>
      <c r="Y7" s="3" t="s">
        <v>248</v>
      </c>
      <c r="Z7" s="3" t="s">
        <v>249</v>
      </c>
      <c r="AA7" s="3" t="s">
        <v>250</v>
      </c>
      <c r="AB7" s="3" t="s">
        <v>251</v>
      </c>
    </row>
    <row r="8" spans="1:28" ht="15.75" x14ac:dyDescent="0.25">
      <c r="A8" s="73" t="s">
        <v>328</v>
      </c>
      <c r="B8" s="74" t="s">
        <v>469</v>
      </c>
      <c r="C8" s="75" t="s">
        <v>329</v>
      </c>
      <c r="D8" s="76">
        <v>113989</v>
      </c>
      <c r="E8" s="77"/>
      <c r="F8" s="77">
        <v>10</v>
      </c>
      <c r="G8" s="77">
        <v>2500</v>
      </c>
      <c r="H8" s="77">
        <v>120</v>
      </c>
      <c r="I8" s="88">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113989</v>
      </c>
      <c r="J8" s="8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17.50871040000002</v>
      </c>
      <c r="K8" s="8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28866.937242481385</v>
      </c>
      <c r="L8" s="8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27278.030715436344</v>
      </c>
      <c r="M8" s="89">
        <f>IF(PowerUnits[[#This Row],[Est. Hours per Year]]=0,0,(PowerUnits[[#This Row],[Calculated Beg Yr. Value]]-PowerUnits[[#This Row],[Calculated End Yr. Value]])/PowerUnits[[#This Row],[Est. Hours per Year]])</f>
        <v>13.240887725375341</v>
      </c>
      <c r="N8" s="89">
        <f>IF(PowerUnits[[#This Row],[Est. Hours per Year]]=0,0,PowerUnits[[#This Row],[Calculated Beg Yr. Value]]*'General Variables'!$B$9/PowerUnits[[#This Row],[Est. Hours per Year]])</f>
        <v>4.8111562070802307</v>
      </c>
      <c r="O8" s="89">
        <f>IF(PowerUnits[[#This Row],[Est. Hours per Year]]=0,0,PowerUnits[[#This Row],[Calculated Beg Yr. Value]]*'General Variables'!$B$10/PowerUnits[[#This Row],[Est. Hours per Year]])</f>
        <v>9.6223124141604615</v>
      </c>
      <c r="P8" s="89">
        <f>SUM(PowerUnits[[#This Row],[Depreciation per Hour]:[Opportunity Cost per Hour]])</f>
        <v>27.674356346616033</v>
      </c>
      <c r="R8" s="3" t="s">
        <v>270</v>
      </c>
      <c r="S8" s="3" t="s">
        <v>197</v>
      </c>
      <c r="T8" s="4">
        <v>0.02</v>
      </c>
      <c r="U8" s="4">
        <v>1.5</v>
      </c>
      <c r="V8" s="6"/>
    </row>
    <row r="9" spans="1:28" x14ac:dyDescent="0.2">
      <c r="A9" s="73" t="s">
        <v>456</v>
      </c>
      <c r="B9" s="74"/>
      <c r="C9" s="75"/>
      <c r="D9" s="76"/>
      <c r="E9" s="77"/>
      <c r="F9" s="77"/>
      <c r="G9" s="77"/>
      <c r="H9" s="77"/>
      <c r="I9" s="88">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8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8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8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89">
        <f>IF(PowerUnits[[#This Row],[Est. Hours per Year]]=0,0,(PowerUnits[[#This Row],[Calculated Beg Yr. Value]]-PowerUnits[[#This Row],[Calculated End Yr. Value]])/PowerUnits[[#This Row],[Est. Hours per Year]])</f>
        <v>0</v>
      </c>
      <c r="N9" s="89">
        <f>IF(PowerUnits[[#This Row],[Est. Hours per Year]]=0,0,PowerUnits[[#This Row],[Calculated Beg Yr. Value]]*'General Variables'!$B$9/PowerUnits[[#This Row],[Est. Hours per Year]])</f>
        <v>0</v>
      </c>
      <c r="O9" s="89">
        <f>IF(PowerUnits[[#This Row],[Est. Hours per Year]]=0,0,PowerUnits[[#This Row],[Calculated Beg Yr. Value]]*'General Variables'!$B$10/PowerUnits[[#This Row],[Est. Hours per Year]])</f>
        <v>0</v>
      </c>
      <c r="P9" s="89">
        <f>SUM(PowerUnits[[#This Row],[Depreciation per Hour]:[Opportunity Cost per Hour]])</f>
        <v>0</v>
      </c>
    </row>
    <row r="10" spans="1:28" x14ac:dyDescent="0.2">
      <c r="A10" s="73"/>
      <c r="B10" s="74"/>
      <c r="C10" s="75"/>
      <c r="D10" s="76"/>
      <c r="E10" s="77"/>
      <c r="F10" s="77"/>
      <c r="G10" s="77"/>
      <c r="H10" s="77"/>
      <c r="I10" s="88">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8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8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8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89">
        <f>IF(PowerUnits[[#This Row],[Est. Hours per Year]]=0,0,(PowerUnits[[#This Row],[Calculated Beg Yr. Value]]-PowerUnits[[#This Row],[Calculated End Yr. Value]])/PowerUnits[[#This Row],[Est. Hours per Year]])</f>
        <v>0</v>
      </c>
      <c r="N10" s="89">
        <f>IF(PowerUnits[[#This Row],[Est. Hours per Year]]=0,0,PowerUnits[[#This Row],[Calculated Beg Yr. Value]]*'General Variables'!$B$9/PowerUnits[[#This Row],[Est. Hours per Year]])</f>
        <v>0</v>
      </c>
      <c r="O10" s="89">
        <f>IF(PowerUnits[[#This Row],[Est. Hours per Year]]=0,0,PowerUnits[[#This Row],[Calculated Beg Yr. Value]]*'General Variables'!$B$10/PowerUnits[[#This Row],[Est. Hours per Year]])</f>
        <v>0</v>
      </c>
      <c r="P10" s="89">
        <f>SUM(PowerUnits[[#This Row],[Depreciation per Hour]:[Opportunity Cost per Hour]])</f>
        <v>0</v>
      </c>
    </row>
    <row r="11" spans="1:28" x14ac:dyDescent="0.2">
      <c r="A11" s="73"/>
      <c r="B11" s="74"/>
      <c r="C11" s="75"/>
      <c r="D11" s="76"/>
      <c r="E11" s="77"/>
      <c r="F11" s="77"/>
      <c r="G11" s="77"/>
      <c r="H11" s="77"/>
      <c r="I11" s="88">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8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8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8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89">
        <f>IF(PowerUnits[[#This Row],[Est. Hours per Year]]=0,0,(PowerUnits[[#This Row],[Calculated Beg Yr. Value]]-PowerUnits[[#This Row],[Calculated End Yr. Value]])/PowerUnits[[#This Row],[Est. Hours per Year]])</f>
        <v>0</v>
      </c>
      <c r="N11" s="89">
        <f>IF(PowerUnits[[#This Row],[Est. Hours per Year]]=0,0,PowerUnits[[#This Row],[Calculated Beg Yr. Value]]*'General Variables'!$B$9/PowerUnits[[#This Row],[Est. Hours per Year]])</f>
        <v>0</v>
      </c>
      <c r="O11" s="89">
        <f>IF(PowerUnits[[#This Row],[Est. Hours per Year]]=0,0,PowerUnits[[#This Row],[Calculated Beg Yr. Value]]*'General Variables'!$B$10/PowerUnits[[#This Row],[Est. Hours per Year]])</f>
        <v>0</v>
      </c>
      <c r="P11" s="89">
        <f>SUM(PowerUnits[[#This Row],[Depreciation per Hour]:[Opportunity Cost per Hour]])</f>
        <v>0</v>
      </c>
    </row>
    <row r="12" spans="1:28" x14ac:dyDescent="0.2">
      <c r="A12" s="73"/>
      <c r="B12" s="74"/>
      <c r="C12" s="75"/>
      <c r="D12" s="76"/>
      <c r="E12" s="77"/>
      <c r="F12" s="77"/>
      <c r="G12" s="77"/>
      <c r="H12" s="77"/>
      <c r="I12" s="88">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8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8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8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89">
        <f>IF(PowerUnits[[#This Row],[Est. Hours per Year]]=0,0,(PowerUnits[[#This Row],[Calculated Beg Yr. Value]]-PowerUnits[[#This Row],[Calculated End Yr. Value]])/PowerUnits[[#This Row],[Est. Hours per Year]])</f>
        <v>0</v>
      </c>
      <c r="N12" s="89">
        <f>IF(PowerUnits[[#This Row],[Est. Hours per Year]]=0,0,PowerUnits[[#This Row],[Calculated Beg Yr. Value]]*'General Variables'!$B$9/PowerUnits[[#This Row],[Est. Hours per Year]])</f>
        <v>0</v>
      </c>
      <c r="O12" s="89">
        <f>IF(PowerUnits[[#This Row],[Est. Hours per Year]]=0,0,PowerUnits[[#This Row],[Calculated Beg Yr. Value]]*'General Variables'!$B$10/PowerUnits[[#This Row],[Est. Hours per Year]])</f>
        <v>0</v>
      </c>
      <c r="P12" s="89">
        <f>SUM(PowerUnits[[#This Row],[Depreciation per Hour]:[Opportunity Cost per Hour]])</f>
        <v>0</v>
      </c>
    </row>
    <row r="13" spans="1:28" ht="15.75" customHeight="1" x14ac:dyDescent="0.2"/>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4">
    <pageSetUpPr fitToPage="1"/>
  </sheetPr>
  <dimension ref="A1:AO102"/>
  <sheetViews>
    <sheetView workbookViewId="0">
      <selection sqref="A1:I1"/>
    </sheetView>
  </sheetViews>
  <sheetFormatPr defaultRowHeight="12.75" x14ac:dyDescent="0.2"/>
  <cols>
    <col min="1" max="1" width="44" style="107" customWidth="1"/>
    <col min="2" max="2" width="14.5703125" style="124" customWidth="1"/>
    <col min="3" max="3" width="17.85546875" style="124" customWidth="1"/>
    <col min="4" max="4" width="23.42578125" style="124" customWidth="1"/>
    <col min="5" max="6" width="11.5703125" style="107" customWidth="1"/>
    <col min="7" max="7" width="9" style="107" customWidth="1"/>
    <col min="8" max="8" width="10.5703125" style="107" customWidth="1"/>
    <col min="9" max="9" width="13.28515625" style="107" customWidth="1"/>
    <col min="10" max="10" width="11.5703125" style="107" customWidth="1"/>
    <col min="11" max="11" width="17.85546875" style="107" customWidth="1"/>
    <col min="12" max="12" width="10" style="107" customWidth="1"/>
    <col min="13" max="13" width="7.85546875" style="107" customWidth="1"/>
    <col min="14" max="15" width="12.7109375" style="107" customWidth="1"/>
    <col min="16" max="16" width="11.42578125" style="107" customWidth="1"/>
    <col min="17" max="18" width="13.7109375" style="107" customWidth="1"/>
    <col min="19" max="19" width="9.140625" style="123"/>
    <col min="20" max="20" width="11.5703125" style="123" customWidth="1"/>
    <col min="21" max="21" width="10.7109375" style="123" customWidth="1"/>
    <col min="22" max="22" width="9.140625" style="107"/>
    <col min="23" max="23" width="32.85546875" style="107" bestFit="1" customWidth="1"/>
    <col min="24" max="24" width="20.42578125" style="107" bestFit="1" customWidth="1"/>
    <col min="25" max="26" width="6.7109375" style="107" customWidth="1"/>
    <col min="27" max="27" width="11" style="107" bestFit="1" customWidth="1"/>
    <col min="28" max="29" width="9.140625" style="107"/>
    <col min="30" max="30" width="28.140625" style="107" customWidth="1"/>
    <col min="31" max="31" width="40.5703125" style="107" bestFit="1" customWidth="1"/>
    <col min="32" max="33" width="6.7109375" style="107" customWidth="1"/>
    <col min="34" max="34" width="7.85546875" style="107" customWidth="1"/>
    <col min="35" max="36" width="9.140625" style="107"/>
    <col min="37" max="37" width="19.5703125" style="107" bestFit="1" customWidth="1"/>
    <col min="38" max="38" width="9.85546875" style="107" bestFit="1" customWidth="1"/>
    <col min="39" max="39" width="29.7109375" style="107" customWidth="1"/>
    <col min="40" max="16384" width="9.140625" style="107"/>
  </cols>
  <sheetData>
    <row r="1" spans="1:41" s="100" customFormat="1" ht="44.25" customHeight="1" x14ac:dyDescent="0.2">
      <c r="A1" s="97" t="s">
        <v>0</v>
      </c>
      <c r="B1" s="98" t="s">
        <v>77</v>
      </c>
      <c r="C1" s="98" t="s">
        <v>105</v>
      </c>
      <c r="D1" s="98" t="s">
        <v>106</v>
      </c>
      <c r="E1" s="98" t="s">
        <v>102</v>
      </c>
      <c r="F1" s="98" t="s">
        <v>373</v>
      </c>
      <c r="G1" s="98" t="s">
        <v>103</v>
      </c>
      <c r="H1" s="98" t="s">
        <v>327</v>
      </c>
      <c r="I1" s="98" t="s">
        <v>358</v>
      </c>
      <c r="J1" s="98" t="s">
        <v>108</v>
      </c>
      <c r="K1" s="98" t="s">
        <v>268</v>
      </c>
      <c r="L1" s="98" t="s">
        <v>361</v>
      </c>
      <c r="M1" s="98" t="s">
        <v>362</v>
      </c>
      <c r="N1" s="98" t="s">
        <v>360</v>
      </c>
      <c r="O1" s="99" t="s">
        <v>375</v>
      </c>
      <c r="P1" s="99" t="s">
        <v>359</v>
      </c>
      <c r="Q1" s="99" t="s">
        <v>374</v>
      </c>
      <c r="R1" s="99" t="s">
        <v>376</v>
      </c>
      <c r="S1" s="99" t="s">
        <v>377</v>
      </c>
      <c r="T1" s="99" t="s">
        <v>378</v>
      </c>
      <c r="U1" s="99" t="s">
        <v>379</v>
      </c>
      <c r="W1" s="9" t="s">
        <v>109</v>
      </c>
      <c r="X1" s="101" t="s">
        <v>110</v>
      </c>
      <c r="Y1" s="102" t="s">
        <v>111</v>
      </c>
      <c r="Z1" s="102" t="s">
        <v>112</v>
      </c>
      <c r="AA1" s="103" t="s">
        <v>113</v>
      </c>
      <c r="AD1" s="10" t="s">
        <v>264</v>
      </c>
      <c r="AE1" s="10" t="s">
        <v>109</v>
      </c>
      <c r="AF1" s="10" t="s">
        <v>265</v>
      </c>
      <c r="AG1" s="10" t="s">
        <v>266</v>
      </c>
      <c r="AH1" s="10" t="s">
        <v>267</v>
      </c>
      <c r="AK1" s="300" t="s">
        <v>259</v>
      </c>
      <c r="AL1" s="300"/>
      <c r="AM1" s="300"/>
      <c r="AO1" s="104" t="s">
        <v>278</v>
      </c>
    </row>
    <row r="2" spans="1:41" ht="12.75" customHeight="1" x14ac:dyDescent="0.25">
      <c r="A2" s="125" t="s">
        <v>17</v>
      </c>
      <c r="B2" s="126" t="s">
        <v>3</v>
      </c>
      <c r="C2" s="127"/>
      <c r="D2" s="127"/>
      <c r="E2" s="128"/>
      <c r="F2" s="129"/>
      <c r="G2" s="128"/>
      <c r="H2" s="128"/>
      <c r="I2" s="130"/>
      <c r="J2" s="131"/>
      <c r="K2" s="127"/>
      <c r="L2" s="129"/>
      <c r="M2" s="132"/>
      <c r="N2"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 s="105">
        <f>IF(Operations[[#This Row],[Calc List Price]]=0,0,IF(Operations[[#This Row],[Units per Hour]]*Operations[[#This Row],[Annual Use]]=0,0,(Operations[[#This Row],[Calc Beg Yr. Value]]-Operations[[#This Row],[Calc End Yr. Value]])/(Operations[[#This Row],[Annual Use]])))</f>
        <v>0</v>
      </c>
      <c r="S2" s="106">
        <f>IF(Operations[[#This Row],[Annual Use]]=0,0,Operations[[#This Row],[Calc Beg Yr. Value]]*'General Variables'!$B$9/Operations[[#This Row],[Annual Use]])</f>
        <v>0</v>
      </c>
      <c r="T2" s="106">
        <f>IF(Operations[[#This Row],[Annual Use]]=0,0,Operations[[#This Row],[Calc Beg Yr. Value]]*'General Variables'!$B$10/Operations[[#This Row],[Annual Use]])</f>
        <v>0</v>
      </c>
      <c r="U2" s="106">
        <f>SUM(Operations[[#This Row],[Depreciation per Unit]:[Opportunity Cost per Unit]])</f>
        <v>0</v>
      </c>
      <c r="W2" s="3" t="s">
        <v>120</v>
      </c>
      <c r="X2" s="3" t="s">
        <v>121</v>
      </c>
      <c r="Y2" s="4" t="s">
        <v>122</v>
      </c>
      <c r="Z2" s="4" t="s">
        <v>123</v>
      </c>
      <c r="AA2" s="6">
        <v>3000</v>
      </c>
      <c r="AD2" s="3" t="s">
        <v>226</v>
      </c>
      <c r="AE2" s="3" t="s">
        <v>227</v>
      </c>
      <c r="AF2" s="3" t="s">
        <v>228</v>
      </c>
      <c r="AG2" s="3" t="s">
        <v>229</v>
      </c>
      <c r="AH2" s="3">
        <v>0</v>
      </c>
      <c r="AK2" s="300"/>
      <c r="AL2" s="300"/>
      <c r="AM2" s="300"/>
      <c r="AO2" s="108" t="str">
        <f>IF(PowerUnits[[#This Row],[Name]]=0,"",PowerUnits[[#This Row],[Name]])</f>
        <v>Large Tractor</v>
      </c>
    </row>
    <row r="3" spans="1:41" ht="12.75" customHeight="1" x14ac:dyDescent="0.25">
      <c r="A3" s="125" t="s">
        <v>432</v>
      </c>
      <c r="B3" s="126" t="s">
        <v>71</v>
      </c>
      <c r="C3" s="127"/>
      <c r="D3" s="127"/>
      <c r="E3" s="128"/>
      <c r="F3" s="129"/>
      <c r="G3" s="127"/>
      <c r="H3" s="127"/>
      <c r="I3" s="133">
        <v>12</v>
      </c>
      <c r="J3" s="131">
        <v>1.1000000000000001</v>
      </c>
      <c r="K3" s="127" t="s">
        <v>468</v>
      </c>
      <c r="L3" s="129">
        <v>6.36</v>
      </c>
      <c r="M3" s="132"/>
      <c r="N3"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3"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3"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3" s="105">
        <f>IF(Operations[[#This Row],[Calc List Price]]=0,0,IF(Operations[[#This Row],[Units per Hour]]*Operations[[#This Row],[Annual Use]]=0,0,(Operations[[#This Row],[Calc Beg Yr. Value]]-Operations[[#This Row],[Calc End Yr. Value]])/(Operations[[#This Row],[Annual Use]])))</f>
        <v>0</v>
      </c>
      <c r="S3" s="106">
        <f>IF(Operations[[#This Row],[Annual Use]]=0,0,Operations[[#This Row],[Calc Beg Yr. Value]]*'General Variables'!$B$9/Operations[[#This Row],[Annual Use]])</f>
        <v>0</v>
      </c>
      <c r="T3" s="106">
        <f>IF(Operations[[#This Row],[Annual Use]]=0,0,Operations[[#This Row],[Calc Beg Yr. Value]]*'General Variables'!$B$10/Operations[[#This Row],[Annual Use]])</f>
        <v>0</v>
      </c>
      <c r="U3" s="106">
        <f>SUM(Operations[[#This Row],[Depreciation per Unit]:[Opportunity Cost per Unit]])</f>
        <v>0</v>
      </c>
      <c r="W3" s="3" t="s">
        <v>124</v>
      </c>
      <c r="X3" s="3" t="s">
        <v>121</v>
      </c>
      <c r="Y3" s="4" t="s">
        <v>125</v>
      </c>
      <c r="Z3" s="4" t="s">
        <v>123</v>
      </c>
      <c r="AA3" s="6">
        <v>1500</v>
      </c>
      <c r="AD3" s="3" t="s">
        <v>226</v>
      </c>
      <c r="AE3" s="3" t="s">
        <v>231</v>
      </c>
      <c r="AF3" s="3" t="s">
        <v>232</v>
      </c>
      <c r="AG3" s="3" t="s">
        <v>233</v>
      </c>
      <c r="AH3" s="3"/>
      <c r="AK3" s="84" t="s">
        <v>260</v>
      </c>
      <c r="AL3" s="84" t="s">
        <v>261</v>
      </c>
      <c r="AM3" s="109" t="s">
        <v>262</v>
      </c>
      <c r="AO3" s="108" t="str">
        <f>IF(PowerUnits[[#This Row],[Name]]=0,"",PowerUnits[[#This Row],[Name]])</f>
        <v>Medium Tractor</v>
      </c>
    </row>
    <row r="4" spans="1:41" ht="12.75" customHeight="1" x14ac:dyDescent="0.25">
      <c r="A4" s="125" t="s">
        <v>283</v>
      </c>
      <c r="B4" s="126" t="s">
        <v>71</v>
      </c>
      <c r="C4" s="127" t="s">
        <v>333</v>
      </c>
      <c r="D4" s="127" t="s">
        <v>355</v>
      </c>
      <c r="E4" s="134"/>
      <c r="F4" s="129">
        <v>15500</v>
      </c>
      <c r="G4" s="128">
        <v>5</v>
      </c>
      <c r="H4" s="128">
        <v>500</v>
      </c>
      <c r="I4" s="133">
        <v>12</v>
      </c>
      <c r="J4" s="131">
        <v>1.1000000000000001</v>
      </c>
      <c r="K4" s="127" t="s">
        <v>468</v>
      </c>
      <c r="L4" s="129">
        <v>6.3642857142857157</v>
      </c>
      <c r="M4" s="132"/>
      <c r="N4"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32108.240770255194</v>
      </c>
      <c r="O4"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0.58161831141852816</v>
      </c>
      <c r="P4"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15500</v>
      </c>
      <c r="Q4"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14461.04177392678</v>
      </c>
      <c r="R4" s="105">
        <f>IF(Operations[[#This Row],[Calc List Price]]=0,0,IF(Operations[[#This Row],[Units per Hour]]*Operations[[#This Row],[Annual Use]]=0,0,(Operations[[#This Row],[Calc Beg Yr. Value]]-Operations[[#This Row],[Calc End Yr. Value]])/(Operations[[#This Row],[Annual Use]])))</f>
        <v>2.0779164521464408</v>
      </c>
      <c r="S4" s="106">
        <f>IF(Operations[[#This Row],[Annual Use]]=0,0,Operations[[#This Row],[Calc Beg Yr. Value]]*'General Variables'!$B$9/Operations[[#This Row],[Annual Use]])</f>
        <v>0.62</v>
      </c>
      <c r="T4" s="106">
        <f>IF(Operations[[#This Row],[Annual Use]]=0,0,Operations[[#This Row],[Calc Beg Yr. Value]]*'General Variables'!$B$10/Operations[[#This Row],[Annual Use]])</f>
        <v>1.24</v>
      </c>
      <c r="U4" s="106">
        <f>SUM(Operations[[#This Row],[Depreciation per Unit]:[Opportunity Cost per Unit]])</f>
        <v>3.9379164521464407</v>
      </c>
      <c r="W4" s="3" t="s">
        <v>126</v>
      </c>
      <c r="X4" s="3" t="s">
        <v>121</v>
      </c>
      <c r="Y4" s="4" t="s">
        <v>127</v>
      </c>
      <c r="Z4" s="4" t="s">
        <v>123</v>
      </c>
      <c r="AA4" s="6">
        <v>2000</v>
      </c>
      <c r="AD4" s="3" t="s">
        <v>226</v>
      </c>
      <c r="AE4" s="3" t="s">
        <v>234</v>
      </c>
      <c r="AF4" s="3" t="s">
        <v>235</v>
      </c>
      <c r="AG4" s="3" t="s">
        <v>236</v>
      </c>
      <c r="AH4" s="3"/>
      <c r="AK4" s="84" t="s">
        <v>196</v>
      </c>
      <c r="AL4" s="110">
        <v>15</v>
      </c>
      <c r="AM4" s="110">
        <v>2</v>
      </c>
      <c r="AO4" s="108" t="str">
        <f>IF(PowerUnits[[#This Row],[Name]]=0,"",PowerUnits[[#This Row],[Name]])</f>
        <v>Combine</v>
      </c>
    </row>
    <row r="5" spans="1:41" ht="12.75" customHeight="1" x14ac:dyDescent="0.25">
      <c r="A5" s="125" t="s">
        <v>284</v>
      </c>
      <c r="B5" s="126" t="s">
        <v>436</v>
      </c>
      <c r="C5" s="127" t="s">
        <v>396</v>
      </c>
      <c r="D5" s="127" t="s">
        <v>355</v>
      </c>
      <c r="E5" s="128">
        <v>42000</v>
      </c>
      <c r="F5" s="129"/>
      <c r="G5" s="128">
        <v>5</v>
      </c>
      <c r="H5" s="128">
        <f>2000*220</f>
        <v>440000</v>
      </c>
      <c r="I5" s="135">
        <f>7*220</f>
        <v>1540</v>
      </c>
      <c r="J5" s="131">
        <v>1.1000000000000001</v>
      </c>
      <c r="K5" s="127" t="s">
        <v>468</v>
      </c>
      <c r="L5" s="129">
        <v>3</v>
      </c>
      <c r="M5" s="132"/>
      <c r="N5"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42000</v>
      </c>
      <c r="O5"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9.1538023280057779E-3</v>
      </c>
      <c r="P5"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20275.168753657814</v>
      </c>
      <c r="Q5"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18916.133052907138</v>
      </c>
      <c r="R5" s="105">
        <f>IF(Operations[[#This Row],[Calc List Price]]=0,0,IF(Operations[[#This Row],[Units per Hour]]*Operations[[#This Row],[Annual Use]]=0,0,(Operations[[#This Row],[Calc Beg Yr. Value]]-Operations[[#This Row],[Calc End Yr. Value]])/(Operations[[#This Row],[Annual Use]])))</f>
        <v>3.0887175017060807E-3</v>
      </c>
      <c r="S5" s="106">
        <f>IF(Operations[[#This Row],[Annual Use]]=0,0,Operations[[#This Row],[Calc Beg Yr. Value]]*'General Variables'!$B$9/Operations[[#This Row],[Annual Use]])</f>
        <v>9.2159857971171888E-4</v>
      </c>
      <c r="T5" s="106">
        <f>IF(Operations[[#This Row],[Annual Use]]=0,0,Operations[[#This Row],[Calc Beg Yr. Value]]*'General Variables'!$B$10/Operations[[#This Row],[Annual Use]])</f>
        <v>1.8431971594234378E-3</v>
      </c>
      <c r="U5" s="106">
        <f>SUM(Operations[[#This Row],[Depreciation per Unit]:[Opportunity Cost per Unit]])</f>
        <v>5.853513240841237E-3</v>
      </c>
      <c r="W5" s="3" t="s">
        <v>128</v>
      </c>
      <c r="X5" s="3" t="s">
        <v>129</v>
      </c>
      <c r="Y5" s="4" t="s">
        <v>130</v>
      </c>
      <c r="Z5" s="4" t="s">
        <v>131</v>
      </c>
      <c r="AA5" s="5">
        <v>2000</v>
      </c>
      <c r="AD5" s="3" t="s">
        <v>226</v>
      </c>
      <c r="AE5" s="3" t="s">
        <v>237</v>
      </c>
      <c r="AF5" s="3" t="s">
        <v>238</v>
      </c>
      <c r="AG5" s="3" t="s">
        <v>239</v>
      </c>
      <c r="AH5" s="3"/>
      <c r="AK5" s="84" t="s">
        <v>198</v>
      </c>
      <c r="AL5" s="110">
        <v>10</v>
      </c>
      <c r="AM5" s="110">
        <v>3</v>
      </c>
      <c r="AO5" s="108" t="str">
        <f>IF(PowerUnits[[#This Row],[Name]]=0,"",PowerUnits[[#This Row],[Name]])</f>
        <v>Diesel Pump</v>
      </c>
    </row>
    <row r="6" spans="1:41" ht="12.75" customHeight="1" x14ac:dyDescent="0.25">
      <c r="A6" s="125" t="s">
        <v>285</v>
      </c>
      <c r="B6" s="126" t="s">
        <v>71</v>
      </c>
      <c r="C6" s="127" t="s">
        <v>333</v>
      </c>
      <c r="D6" s="127" t="s">
        <v>354</v>
      </c>
      <c r="E6" s="134">
        <v>56958</v>
      </c>
      <c r="F6" s="129"/>
      <c r="G6" s="128">
        <v>5</v>
      </c>
      <c r="H6" s="128">
        <v>2000</v>
      </c>
      <c r="I6" s="133">
        <v>11.092436974789917</v>
      </c>
      <c r="J6" s="131">
        <v>1.1000000000000001</v>
      </c>
      <c r="K6" s="127" t="s">
        <v>468</v>
      </c>
      <c r="L6" s="129">
        <v>8.2638655462184882</v>
      </c>
      <c r="M6" s="132"/>
      <c r="N6"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6"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2.0054704850529652</v>
      </c>
      <c r="P6"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6"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6" s="105">
        <f>IF(Operations[[#This Row],[Calc List Price]]=0,0,IF(Operations[[#This Row],[Units per Hour]]*Operations[[#This Row],[Annual Use]]=0,0,(Operations[[#This Row],[Calc Beg Yr. Value]]-Operations[[#This Row],[Calc End Yr. Value]])/(Operations[[#This Row],[Annual Use]])))</f>
        <v>0.84682119765616704</v>
      </c>
      <c r="S6" s="106">
        <f>IF(Operations[[#This Row],[Annual Use]]=0,0,Operations[[#This Row],[Calc Beg Yr. Value]]*'General Variables'!$B$9/Operations[[#This Row],[Annual Use]])</f>
        <v>0.23698341625765873</v>
      </c>
      <c r="T6" s="106">
        <f>IF(Operations[[#This Row],[Annual Use]]=0,0,Operations[[#This Row],[Calc Beg Yr. Value]]*'General Variables'!$B$10/Operations[[#This Row],[Annual Use]])</f>
        <v>0.47396683251531746</v>
      </c>
      <c r="U6" s="106">
        <f>SUM(Operations[[#This Row],[Depreciation per Unit]:[Opportunity Cost per Unit]])</f>
        <v>1.5577714464291432</v>
      </c>
      <c r="W6" s="3" t="s">
        <v>132</v>
      </c>
      <c r="X6" s="3" t="s">
        <v>129</v>
      </c>
      <c r="Y6" s="4" t="s">
        <v>133</v>
      </c>
      <c r="Z6" s="4" t="s">
        <v>134</v>
      </c>
      <c r="AA6" s="6">
        <v>1200</v>
      </c>
      <c r="AD6" s="3" t="s">
        <v>240</v>
      </c>
      <c r="AE6" s="3" t="s">
        <v>241</v>
      </c>
      <c r="AF6" s="3" t="s">
        <v>242</v>
      </c>
      <c r="AG6" s="3" t="s">
        <v>243</v>
      </c>
      <c r="AH6" s="3"/>
      <c r="AK6" s="84" t="s">
        <v>199</v>
      </c>
      <c r="AL6" s="110">
        <v>15</v>
      </c>
      <c r="AM6" s="110">
        <v>2</v>
      </c>
      <c r="AO6" s="108" t="str">
        <f>IF(PowerUnits[[#This Row],[Name]]=0,"",PowerUnits[[#This Row],[Name]])</f>
        <v>Electric Pump</v>
      </c>
    </row>
    <row r="7" spans="1:41" ht="12.75" customHeight="1" x14ac:dyDescent="0.25">
      <c r="A7" s="125" t="s">
        <v>286</v>
      </c>
      <c r="B7" s="126" t="s">
        <v>3</v>
      </c>
      <c r="C7" s="126"/>
      <c r="D7" s="126"/>
      <c r="E7" s="128"/>
      <c r="F7" s="129"/>
      <c r="G7" s="128"/>
      <c r="H7" s="128"/>
      <c r="I7" s="133" t="s">
        <v>395</v>
      </c>
      <c r="J7" s="131"/>
      <c r="K7" s="127"/>
      <c r="L7" s="129" t="s">
        <v>395</v>
      </c>
      <c r="M7" s="132"/>
      <c r="N7"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 s="105">
        <f>IF(Operations[[#This Row],[Calc List Price]]=0,0,IF(Operations[[#This Row],[Units per Hour]]*Operations[[#This Row],[Annual Use]]=0,0,(Operations[[#This Row],[Calc Beg Yr. Value]]-Operations[[#This Row],[Calc End Yr. Value]])/(Operations[[#This Row],[Annual Use]])))</f>
        <v>0</v>
      </c>
      <c r="S7" s="106">
        <f>IF(Operations[[#This Row],[Annual Use]]=0,0,Operations[[#This Row],[Calc Beg Yr. Value]]*'General Variables'!$B$9/Operations[[#This Row],[Annual Use]])</f>
        <v>0</v>
      </c>
      <c r="T7" s="106">
        <f>IF(Operations[[#This Row],[Annual Use]]=0,0,Operations[[#This Row],[Calc Beg Yr. Value]]*'General Variables'!$B$10/Operations[[#This Row],[Annual Use]])</f>
        <v>0</v>
      </c>
      <c r="U7" s="106">
        <f>SUM(Operations[[#This Row],[Depreciation per Unit]:[Opportunity Cost per Unit]])</f>
        <v>0</v>
      </c>
      <c r="W7" s="3" t="s">
        <v>135</v>
      </c>
      <c r="X7" s="3" t="s">
        <v>136</v>
      </c>
      <c r="Y7" s="4" t="s">
        <v>133</v>
      </c>
      <c r="Z7" s="4" t="s">
        <v>134</v>
      </c>
      <c r="AA7" s="5">
        <v>2000</v>
      </c>
      <c r="AD7" s="3" t="s">
        <v>240</v>
      </c>
      <c r="AE7" s="3" t="s">
        <v>244</v>
      </c>
      <c r="AF7" s="3" t="s">
        <v>245</v>
      </c>
      <c r="AG7" s="3" t="s">
        <v>246</v>
      </c>
      <c r="AH7" s="3"/>
      <c r="AK7" s="84" t="s">
        <v>200</v>
      </c>
      <c r="AL7" s="110">
        <v>10</v>
      </c>
      <c r="AM7" s="110">
        <v>6</v>
      </c>
      <c r="AO7" s="108" t="str">
        <f>IF(PowerUnits[[#This Row],[Name]]=0,"",PowerUnits[[#This Row],[Name]])</f>
        <v>Diesel Pump for Pipe</v>
      </c>
    </row>
    <row r="8" spans="1:41" ht="12.75" customHeight="1" x14ac:dyDescent="0.25">
      <c r="A8" s="125" t="s">
        <v>287</v>
      </c>
      <c r="B8" s="126" t="s">
        <v>71</v>
      </c>
      <c r="C8" s="127" t="s">
        <v>334</v>
      </c>
      <c r="D8" s="127" t="s">
        <v>329</v>
      </c>
      <c r="E8" s="134">
        <v>19286</v>
      </c>
      <c r="F8" s="129"/>
      <c r="G8" s="128">
        <v>5</v>
      </c>
      <c r="H8" s="128">
        <v>500</v>
      </c>
      <c r="I8" s="133">
        <v>12.336448598130842</v>
      </c>
      <c r="J8" s="131">
        <v>1.1000000000000001</v>
      </c>
      <c r="K8" s="127" t="s">
        <v>468</v>
      </c>
      <c r="L8" s="129">
        <v>5.736448598130842</v>
      </c>
      <c r="M8" s="132"/>
      <c r="N8"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19286</v>
      </c>
      <c r="O8"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0.33608664256651644</v>
      </c>
      <c r="P8"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6657.0871286417614</v>
      </c>
      <c r="Q8"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6224.2393928272586</v>
      </c>
      <c r="R8" s="105">
        <f>IF(Operations[[#This Row],[Calc List Price]]=0,0,IF(Operations[[#This Row],[Units per Hour]]*Operations[[#This Row],[Annual Use]]=0,0,(Operations[[#This Row],[Calc Beg Yr. Value]]-Operations[[#This Row],[Calc End Yr. Value]])/(Operations[[#This Row],[Annual Use]])))</f>
        <v>0.86569547162900562</v>
      </c>
      <c r="S8" s="106">
        <f>IF(Operations[[#This Row],[Annual Use]]=0,0,Operations[[#This Row],[Calc Beg Yr. Value]]*'General Variables'!$B$9/Operations[[#This Row],[Annual Use]])</f>
        <v>0.26628348514567046</v>
      </c>
      <c r="T8" s="106">
        <f>IF(Operations[[#This Row],[Annual Use]]=0,0,Operations[[#This Row],[Calc Beg Yr. Value]]*'General Variables'!$B$10/Operations[[#This Row],[Annual Use]])</f>
        <v>0.53256697029134092</v>
      </c>
      <c r="U8" s="106">
        <f>SUM(Operations[[#This Row],[Depreciation per Unit]:[Opportunity Cost per Unit]])</f>
        <v>1.664545927066017</v>
      </c>
      <c r="W8" s="3" t="s">
        <v>137</v>
      </c>
      <c r="X8" s="3" t="s">
        <v>121</v>
      </c>
      <c r="Y8" s="4" t="s">
        <v>138</v>
      </c>
      <c r="Z8" s="4" t="s">
        <v>139</v>
      </c>
      <c r="AA8" s="6">
        <v>2000</v>
      </c>
      <c r="AD8" s="3" t="s">
        <v>247</v>
      </c>
      <c r="AE8" s="3" t="s">
        <v>248</v>
      </c>
      <c r="AF8" s="3" t="s">
        <v>249</v>
      </c>
      <c r="AG8" s="3" t="s">
        <v>250</v>
      </c>
      <c r="AH8" s="3">
        <v>0</v>
      </c>
      <c r="AK8" s="84" t="s">
        <v>201</v>
      </c>
      <c r="AL8" s="110">
        <v>15</v>
      </c>
      <c r="AM8" s="110">
        <v>6</v>
      </c>
      <c r="AO8" s="108" t="str">
        <f>IF(PowerUnits[[#This Row],[Name]]=0,"",PowerUnits[[#This Row],[Name]])</f>
        <v>Windrower</v>
      </c>
    </row>
    <row r="9" spans="1:41" ht="12.75" customHeight="1" x14ac:dyDescent="0.25">
      <c r="A9" s="125" t="s">
        <v>474</v>
      </c>
      <c r="B9" s="126" t="s">
        <v>71</v>
      </c>
      <c r="C9" s="127" t="s">
        <v>335</v>
      </c>
      <c r="D9" s="127" t="s">
        <v>274</v>
      </c>
      <c r="E9" s="134">
        <v>50450</v>
      </c>
      <c r="F9" s="129"/>
      <c r="G9" s="128">
        <v>5</v>
      </c>
      <c r="H9" s="134">
        <v>1000</v>
      </c>
      <c r="I9" s="135">
        <v>7</v>
      </c>
      <c r="J9" s="131">
        <v>1.1000000000000001</v>
      </c>
      <c r="K9" s="127" t="s">
        <v>269</v>
      </c>
      <c r="L9" s="129">
        <v>10.5</v>
      </c>
      <c r="M9" s="132"/>
      <c r="N9"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50450</v>
      </c>
      <c r="O9"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1.4546201787307349</v>
      </c>
      <c r="P9"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29374.181867105253</v>
      </c>
      <c r="Q9"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26725.514759554455</v>
      </c>
      <c r="R9" s="105">
        <f>IF(Operations[[#This Row],[Calc List Price]]=0,0,IF(Operations[[#This Row],[Units per Hour]]*Operations[[#This Row],[Annual Use]]=0,0,(Operations[[#This Row],[Calc Beg Yr. Value]]-Operations[[#This Row],[Calc End Yr. Value]])/(Operations[[#This Row],[Annual Use]])))</f>
        <v>2.6486671075507986</v>
      </c>
      <c r="S9" s="106">
        <f>IF(Operations[[#This Row],[Annual Use]]=0,0,Operations[[#This Row],[Calc Beg Yr. Value]]*'General Variables'!$B$9/Operations[[#This Row],[Annual Use]])</f>
        <v>0.58748363734210507</v>
      </c>
      <c r="T9" s="106">
        <f>IF(Operations[[#This Row],[Annual Use]]=0,0,Operations[[#This Row],[Calc Beg Yr. Value]]*'General Variables'!$B$10/Operations[[#This Row],[Annual Use]])</f>
        <v>1.1749672746842101</v>
      </c>
      <c r="U9" s="106">
        <f>SUM(Operations[[#This Row],[Depreciation per Unit]:[Opportunity Cost per Unit]])</f>
        <v>4.4111180195771134</v>
      </c>
      <c r="W9" s="3" t="s">
        <v>143</v>
      </c>
      <c r="X9" s="3" t="s">
        <v>121</v>
      </c>
      <c r="Y9" s="4" t="s">
        <v>144</v>
      </c>
      <c r="Z9" s="4" t="s">
        <v>139</v>
      </c>
      <c r="AA9" s="6">
        <v>2000</v>
      </c>
      <c r="AD9" s="3" t="s">
        <v>247</v>
      </c>
      <c r="AE9" s="3" t="s">
        <v>252</v>
      </c>
      <c r="AF9" s="3" t="s">
        <v>253</v>
      </c>
      <c r="AG9" s="3" t="s">
        <v>254</v>
      </c>
      <c r="AH9" s="3"/>
      <c r="AK9" s="84" t="s">
        <v>202</v>
      </c>
      <c r="AL9" s="110">
        <v>15</v>
      </c>
      <c r="AM9" s="110">
        <v>6</v>
      </c>
      <c r="AO9" s="108" t="str">
        <f>IF(PowerUnits[[#This Row],[Name]]=0,"",PowerUnits[[#This Row],[Name]])</f>
        <v>none</v>
      </c>
    </row>
    <row r="10" spans="1:41" ht="12.75" customHeight="1" x14ac:dyDescent="0.25">
      <c r="A10" s="125" t="s">
        <v>478</v>
      </c>
      <c r="B10" s="126" t="s">
        <v>71</v>
      </c>
      <c r="C10" s="127" t="s">
        <v>335</v>
      </c>
      <c r="D10" s="127" t="s">
        <v>274</v>
      </c>
      <c r="E10" s="128">
        <v>30866</v>
      </c>
      <c r="F10" s="129"/>
      <c r="G10" s="128">
        <v>5</v>
      </c>
      <c r="H10" s="134">
        <v>1000</v>
      </c>
      <c r="I10" s="133">
        <v>6.5</v>
      </c>
      <c r="J10" s="131">
        <v>1.1000000000000001</v>
      </c>
      <c r="K10" s="127" t="s">
        <v>269</v>
      </c>
      <c r="L10" s="129">
        <v>10.5</v>
      </c>
      <c r="M10" s="132"/>
      <c r="N10"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0"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0"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0"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0" s="105">
        <f>IF(Operations[[#This Row],[Calc List Price]]=0,0,IF(Operations[[#This Row],[Units per Hour]]*Operations[[#This Row],[Annual Use]]=0,0,(Operations[[#This Row],[Calc Beg Yr. Value]]-Operations[[#This Row],[Calc End Yr. Value]])/(Operations[[#This Row],[Annual Use]])))</f>
        <v>1.6204907619754794</v>
      </c>
      <c r="S10" s="106">
        <f>IF(Operations[[#This Row],[Annual Use]]=0,0,Operations[[#This Row],[Calc Beg Yr. Value]]*'General Variables'!$B$9/Operations[[#This Row],[Annual Use]])</f>
        <v>0.35943052428545919</v>
      </c>
      <c r="T10" s="106">
        <f>IF(Operations[[#This Row],[Annual Use]]=0,0,Operations[[#This Row],[Calc Beg Yr. Value]]*'General Variables'!$B$10/Operations[[#This Row],[Annual Use]])</f>
        <v>0.71886104857091837</v>
      </c>
      <c r="U10" s="106">
        <f>SUM(Operations[[#This Row],[Depreciation per Unit]:[Opportunity Cost per Unit]])</f>
        <v>2.6987823348318569</v>
      </c>
      <c r="W10" s="3" t="s">
        <v>147</v>
      </c>
      <c r="X10" s="3" t="s">
        <v>136</v>
      </c>
      <c r="Y10" s="4" t="s">
        <v>148</v>
      </c>
      <c r="Z10" s="4" t="s">
        <v>134</v>
      </c>
      <c r="AA10" s="6">
        <v>2000</v>
      </c>
      <c r="AD10" s="3" t="s">
        <v>255</v>
      </c>
      <c r="AE10" s="3" t="s">
        <v>256</v>
      </c>
      <c r="AF10" s="3" t="s">
        <v>257</v>
      </c>
      <c r="AG10" s="3" t="s">
        <v>258</v>
      </c>
      <c r="AH10" s="3"/>
      <c r="AK10" s="84" t="s">
        <v>203</v>
      </c>
      <c r="AL10" s="110">
        <v>15</v>
      </c>
      <c r="AM10" s="110">
        <v>6</v>
      </c>
      <c r="AO10" s="108" t="str">
        <f>IF(PowerUnits[[#This Row],[Name]]=0,"",PowerUnits[[#This Row],[Name]])</f>
        <v/>
      </c>
    </row>
    <row r="11" spans="1:41" ht="12.75" customHeight="1" x14ac:dyDescent="0.25">
      <c r="A11" s="125" t="s">
        <v>476</v>
      </c>
      <c r="B11" s="126" t="s">
        <v>71</v>
      </c>
      <c r="C11" s="127" t="s">
        <v>335</v>
      </c>
      <c r="D11" s="127" t="s">
        <v>274</v>
      </c>
      <c r="E11" s="128">
        <v>30866</v>
      </c>
      <c r="F11" s="129"/>
      <c r="G11" s="128">
        <v>5</v>
      </c>
      <c r="H11" s="134">
        <v>1000</v>
      </c>
      <c r="I11" s="133">
        <v>6.5</v>
      </c>
      <c r="J11" s="131">
        <v>1.1000000000000001</v>
      </c>
      <c r="K11" s="127" t="s">
        <v>269</v>
      </c>
      <c r="L11" s="129">
        <v>10.5</v>
      </c>
      <c r="M11" s="132"/>
      <c r="N11"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1"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1"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1"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1" s="105">
        <f>IF(Operations[[#This Row],[Calc List Price]]=0,0,IF(Operations[[#This Row],[Units per Hour]]*Operations[[#This Row],[Annual Use]]=0,0,(Operations[[#This Row],[Calc Beg Yr. Value]]-Operations[[#This Row],[Calc End Yr. Value]])/(Operations[[#This Row],[Annual Use]])))</f>
        <v>1.6204907619754794</v>
      </c>
      <c r="S11" s="106">
        <f>IF(Operations[[#This Row],[Annual Use]]=0,0,Operations[[#This Row],[Calc Beg Yr. Value]]*'General Variables'!$B$9/Operations[[#This Row],[Annual Use]])</f>
        <v>0.35943052428545919</v>
      </c>
      <c r="T11" s="106">
        <f>IF(Operations[[#This Row],[Annual Use]]=0,0,Operations[[#This Row],[Calc Beg Yr. Value]]*'General Variables'!$B$10/Operations[[#This Row],[Annual Use]])</f>
        <v>0.71886104857091837</v>
      </c>
      <c r="U11" s="106">
        <f>SUM(Operations[[#This Row],[Depreciation per Unit]:[Opportunity Cost per Unit]])</f>
        <v>2.6987823348318569</v>
      </c>
      <c r="W11" s="3" t="s">
        <v>149</v>
      </c>
      <c r="X11" s="3" t="s">
        <v>136</v>
      </c>
      <c r="Y11" s="4" t="s">
        <v>150</v>
      </c>
      <c r="Z11" s="4" t="s">
        <v>151</v>
      </c>
      <c r="AA11" s="5">
        <v>2000</v>
      </c>
      <c r="AD11" s="3" t="s">
        <v>202</v>
      </c>
      <c r="AE11" s="3" t="s">
        <v>381</v>
      </c>
      <c r="AF11" s="3" t="s">
        <v>245</v>
      </c>
      <c r="AG11" s="3" t="s">
        <v>246</v>
      </c>
      <c r="AH11" s="3"/>
      <c r="AK11" s="84" t="s">
        <v>204</v>
      </c>
      <c r="AL11" s="110">
        <v>15</v>
      </c>
      <c r="AM11" s="110">
        <v>6</v>
      </c>
      <c r="AO11" s="108" t="str">
        <f>IF(PowerUnits[[#This Row],[Name]]=0,"",PowerUnits[[#This Row],[Name]])</f>
        <v/>
      </c>
    </row>
    <row r="12" spans="1:41" ht="12.75" customHeight="1" x14ac:dyDescent="0.25">
      <c r="A12" s="125" t="s">
        <v>280</v>
      </c>
      <c r="B12" s="126" t="s">
        <v>71</v>
      </c>
      <c r="C12" s="127" t="s">
        <v>335</v>
      </c>
      <c r="D12" s="127" t="s">
        <v>274</v>
      </c>
      <c r="E12" s="134">
        <v>51450</v>
      </c>
      <c r="F12" s="129"/>
      <c r="G12" s="128">
        <v>5</v>
      </c>
      <c r="H12" s="134">
        <v>1000</v>
      </c>
      <c r="I12" s="133">
        <v>7</v>
      </c>
      <c r="J12" s="131">
        <v>1.1000000000000001</v>
      </c>
      <c r="K12" s="127" t="s">
        <v>269</v>
      </c>
      <c r="L12" s="129">
        <v>10.5</v>
      </c>
      <c r="M12" s="132"/>
      <c r="N12"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51450</v>
      </c>
      <c r="O12"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1.4834530861386781</v>
      </c>
      <c r="P12"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29956.425313430431</v>
      </c>
      <c r="Q12"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27255.257371240372</v>
      </c>
      <c r="R12" s="105">
        <f>IF(Operations[[#This Row],[Calc List Price]]=0,0,IF(Operations[[#This Row],[Units per Hour]]*Operations[[#This Row],[Annual Use]]=0,0,(Operations[[#This Row],[Calc Beg Yr. Value]]-Operations[[#This Row],[Calc End Yr. Value]])/(Operations[[#This Row],[Annual Use]])))</f>
        <v>2.7011679421900592</v>
      </c>
      <c r="S12" s="106">
        <f>IF(Operations[[#This Row],[Annual Use]]=0,0,Operations[[#This Row],[Calc Beg Yr. Value]]*'General Variables'!$B$9/Operations[[#This Row],[Annual Use]])</f>
        <v>0.59912850626860858</v>
      </c>
      <c r="T12" s="106">
        <f>IF(Operations[[#This Row],[Annual Use]]=0,0,Operations[[#This Row],[Calc Beg Yr. Value]]*'General Variables'!$B$10/Operations[[#This Row],[Annual Use]])</f>
        <v>1.1982570125372172</v>
      </c>
      <c r="U12" s="106">
        <f>SUM(Operations[[#This Row],[Depreciation per Unit]:[Opportunity Cost per Unit]])</f>
        <v>4.4985534609958853</v>
      </c>
      <c r="W12" s="3" t="s">
        <v>152</v>
      </c>
      <c r="X12" s="3" t="s">
        <v>136</v>
      </c>
      <c r="Y12" s="4" t="s">
        <v>153</v>
      </c>
      <c r="Z12" s="4" t="s">
        <v>154</v>
      </c>
      <c r="AA12" s="5">
        <v>2000</v>
      </c>
      <c r="AK12" s="84" t="s">
        <v>205</v>
      </c>
      <c r="AL12" s="110">
        <v>15</v>
      </c>
      <c r="AM12" s="110">
        <v>6</v>
      </c>
    </row>
    <row r="13" spans="1:41" ht="12.75" customHeight="1" x14ac:dyDescent="0.25">
      <c r="A13" s="125" t="s">
        <v>282</v>
      </c>
      <c r="B13" s="126" t="s">
        <v>71</v>
      </c>
      <c r="C13" s="127" t="s">
        <v>335</v>
      </c>
      <c r="D13" s="127" t="s">
        <v>274</v>
      </c>
      <c r="E13" s="134">
        <v>30866</v>
      </c>
      <c r="F13" s="129"/>
      <c r="G13" s="128">
        <v>5</v>
      </c>
      <c r="H13" s="128">
        <v>1000</v>
      </c>
      <c r="I13" s="133">
        <v>5</v>
      </c>
      <c r="J13" s="131">
        <v>1.1000000000000001</v>
      </c>
      <c r="K13" s="127" t="s">
        <v>269</v>
      </c>
      <c r="L13" s="129">
        <v>10.5</v>
      </c>
      <c r="M13" s="132"/>
      <c r="N13"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3"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1.9295821423222126</v>
      </c>
      <c r="P13"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3"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3" s="105">
        <f>IF(Operations[[#This Row],[Calc List Price]]=0,0,IF(Operations[[#This Row],[Units per Hour]]*Operations[[#This Row],[Annual Use]]=0,0,(Operations[[#This Row],[Calc Beg Yr. Value]]-Operations[[#This Row],[Calc End Yr. Value]])/(Operations[[#This Row],[Annual Use]])))</f>
        <v>1.6204907619754794</v>
      </c>
      <c r="S13" s="106">
        <f>IF(Operations[[#This Row],[Annual Use]]=0,0,Operations[[#This Row],[Calc Beg Yr. Value]]*'General Variables'!$B$9/Operations[[#This Row],[Annual Use]])</f>
        <v>0.35943052428545919</v>
      </c>
      <c r="T13" s="106">
        <f>IF(Operations[[#This Row],[Annual Use]]=0,0,Operations[[#This Row],[Calc Beg Yr. Value]]*'General Variables'!$B$10/Operations[[#This Row],[Annual Use]])</f>
        <v>0.71886104857091837</v>
      </c>
      <c r="U13" s="106">
        <f>SUM(Operations[[#This Row],[Depreciation per Unit]:[Opportunity Cost per Unit]])</f>
        <v>2.6987823348318569</v>
      </c>
      <c r="W13" s="3" t="s">
        <v>155</v>
      </c>
      <c r="X13" s="3" t="s">
        <v>136</v>
      </c>
      <c r="Y13" s="4" t="s">
        <v>153</v>
      </c>
      <c r="Z13" s="4" t="s">
        <v>154</v>
      </c>
      <c r="AA13" s="6">
        <v>2000</v>
      </c>
      <c r="AK13" s="84" t="s">
        <v>206</v>
      </c>
      <c r="AL13" s="110">
        <v>15</v>
      </c>
      <c r="AM13" s="110">
        <v>2</v>
      </c>
    </row>
    <row r="14" spans="1:41" ht="12.75" customHeight="1" x14ac:dyDescent="0.25">
      <c r="A14" s="125" t="s">
        <v>281</v>
      </c>
      <c r="B14" s="126" t="s">
        <v>71</v>
      </c>
      <c r="C14" s="127" t="s">
        <v>335</v>
      </c>
      <c r="D14" s="127" t="s">
        <v>274</v>
      </c>
      <c r="E14" s="128">
        <v>30866</v>
      </c>
      <c r="F14" s="129"/>
      <c r="G14" s="128">
        <v>5</v>
      </c>
      <c r="H14" s="134">
        <v>1000</v>
      </c>
      <c r="I14" s="133">
        <v>6</v>
      </c>
      <c r="J14" s="131">
        <v>1.1000000000000001</v>
      </c>
      <c r="K14" s="127" t="s">
        <v>269</v>
      </c>
      <c r="L14" s="129">
        <v>10.5</v>
      </c>
      <c r="M14" s="132"/>
      <c r="N14"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4"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1.2686633834568817</v>
      </c>
      <c r="P14"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4"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4" s="105">
        <f>IF(Operations[[#This Row],[Calc List Price]]=0,0,IF(Operations[[#This Row],[Units per Hour]]*Operations[[#This Row],[Annual Use]]=0,0,(Operations[[#This Row],[Calc Beg Yr. Value]]-Operations[[#This Row],[Calc End Yr. Value]])/(Operations[[#This Row],[Annual Use]])))</f>
        <v>1.6204907619754794</v>
      </c>
      <c r="S14" s="106">
        <f>IF(Operations[[#This Row],[Annual Use]]=0,0,Operations[[#This Row],[Calc Beg Yr. Value]]*'General Variables'!$B$9/Operations[[#This Row],[Annual Use]])</f>
        <v>0.35943052428545919</v>
      </c>
      <c r="T14" s="106">
        <f>IF(Operations[[#This Row],[Annual Use]]=0,0,Operations[[#This Row],[Calc Beg Yr. Value]]*'General Variables'!$B$10/Operations[[#This Row],[Annual Use]])</f>
        <v>0.71886104857091837</v>
      </c>
      <c r="U14" s="106">
        <f>SUM(Operations[[#This Row],[Depreciation per Unit]:[Opportunity Cost per Unit]])</f>
        <v>2.6987823348318569</v>
      </c>
      <c r="W14" s="3" t="s">
        <v>156</v>
      </c>
      <c r="X14" s="3" t="s">
        <v>136</v>
      </c>
      <c r="Y14" s="4" t="s">
        <v>157</v>
      </c>
      <c r="Z14" s="4" t="s">
        <v>142</v>
      </c>
      <c r="AA14" s="6">
        <v>1500</v>
      </c>
      <c r="AK14" s="84" t="s">
        <v>207</v>
      </c>
      <c r="AL14" s="110">
        <v>20</v>
      </c>
      <c r="AM14" s="110">
        <v>1</v>
      </c>
    </row>
    <row r="15" spans="1:41" ht="12.75" customHeight="1" x14ac:dyDescent="0.25">
      <c r="A15" s="125" t="s">
        <v>279</v>
      </c>
      <c r="B15" s="126" t="s">
        <v>71</v>
      </c>
      <c r="C15" s="127" t="s">
        <v>335</v>
      </c>
      <c r="D15" s="127" t="s">
        <v>274</v>
      </c>
      <c r="E15" s="128">
        <v>30866</v>
      </c>
      <c r="F15" s="129"/>
      <c r="G15" s="128">
        <v>5</v>
      </c>
      <c r="H15" s="134">
        <v>1000</v>
      </c>
      <c r="I15" s="133">
        <v>6.5</v>
      </c>
      <c r="J15" s="131">
        <v>1.1000000000000001</v>
      </c>
      <c r="K15" s="127" t="s">
        <v>269</v>
      </c>
      <c r="L15" s="129">
        <v>10.5</v>
      </c>
      <c r="M15" s="132"/>
      <c r="N15"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5"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5"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5"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5" s="105">
        <f>IF(Operations[[#This Row],[Calc List Price]]=0,0,IF(Operations[[#This Row],[Units per Hour]]*Operations[[#This Row],[Annual Use]]=0,0,(Operations[[#This Row],[Calc Beg Yr. Value]]-Operations[[#This Row],[Calc End Yr. Value]])/(Operations[[#This Row],[Annual Use]])))</f>
        <v>1.6204907619754794</v>
      </c>
      <c r="S15" s="106">
        <f>IF(Operations[[#This Row],[Annual Use]]=0,0,Operations[[#This Row],[Calc Beg Yr. Value]]*'General Variables'!$B$9/Operations[[#This Row],[Annual Use]])</f>
        <v>0.35943052428545919</v>
      </c>
      <c r="T15" s="106">
        <f>IF(Operations[[#This Row],[Annual Use]]=0,0,Operations[[#This Row],[Calc Beg Yr. Value]]*'General Variables'!$B$10/Operations[[#This Row],[Annual Use]])</f>
        <v>0.71886104857091837</v>
      </c>
      <c r="U15" s="106">
        <f>SUM(Operations[[#This Row],[Depreciation per Unit]:[Opportunity Cost per Unit]])</f>
        <v>2.6987823348318569</v>
      </c>
      <c r="W15" s="3" t="s">
        <v>158</v>
      </c>
      <c r="X15" s="3" t="s">
        <v>129</v>
      </c>
      <c r="Y15" s="4" t="s">
        <v>159</v>
      </c>
      <c r="Z15" s="4" t="s">
        <v>160</v>
      </c>
      <c r="AA15" s="6">
        <v>1200</v>
      </c>
      <c r="AK15" s="84" t="s">
        <v>208</v>
      </c>
      <c r="AL15" s="110">
        <v>15</v>
      </c>
      <c r="AM15" s="110">
        <v>3</v>
      </c>
    </row>
    <row r="16" spans="1:41" ht="12.75" customHeight="1" x14ac:dyDescent="0.25">
      <c r="A16" s="125" t="s">
        <v>578</v>
      </c>
      <c r="B16" s="126" t="s">
        <v>71</v>
      </c>
      <c r="C16" s="127" t="s">
        <v>335</v>
      </c>
      <c r="D16" s="127" t="s">
        <v>274</v>
      </c>
      <c r="E16" s="128">
        <v>79100</v>
      </c>
      <c r="F16" s="129"/>
      <c r="G16" s="128">
        <v>5</v>
      </c>
      <c r="H16" s="128">
        <v>1000</v>
      </c>
      <c r="I16" s="130">
        <v>5</v>
      </c>
      <c r="J16" s="131">
        <v>1.1000000000000001</v>
      </c>
      <c r="K16" s="127" t="s">
        <v>269</v>
      </c>
      <c r="L16" s="129">
        <v>10.5</v>
      </c>
      <c r="M16" s="132"/>
      <c r="N16"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79100</v>
      </c>
      <c r="O16"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4.9449215142126297</v>
      </c>
      <c r="P16"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46055.456604321611</v>
      </c>
      <c r="Q16"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41902.640584355941</v>
      </c>
      <c r="R16" s="105">
        <f>IF(Operations[[#This Row],[Calc List Price]]=0,0,IF(Operations[[#This Row],[Units per Hour]]*Operations[[#This Row],[Annual Use]]=0,0,(Operations[[#This Row],[Calc Beg Yr. Value]]-Operations[[#This Row],[Calc End Yr. Value]])/(Operations[[#This Row],[Annual Use]])))</f>
        <v>4.1528160199656705</v>
      </c>
      <c r="S16" s="106">
        <f>IF(Operations[[#This Row],[Annual Use]]=0,0,Operations[[#This Row],[Calc Beg Yr. Value]]*'General Variables'!$B$9/Operations[[#This Row],[Annual Use]])</f>
        <v>0.9211091320864323</v>
      </c>
      <c r="T16" s="106">
        <f>IF(Operations[[#This Row],[Annual Use]]=0,0,Operations[[#This Row],[Calc Beg Yr. Value]]*'General Variables'!$B$10/Operations[[#This Row],[Annual Use]])</f>
        <v>1.8422182641728646</v>
      </c>
      <c r="U16" s="106">
        <f>SUM(Operations[[#This Row],[Depreciation per Unit]:[Opportunity Cost per Unit]])</f>
        <v>6.9161434162249673</v>
      </c>
      <c r="W16" s="3" t="s">
        <v>161</v>
      </c>
      <c r="X16" s="3" t="s">
        <v>129</v>
      </c>
      <c r="Y16" s="4" t="s">
        <v>162</v>
      </c>
      <c r="Z16" s="4" t="s">
        <v>123</v>
      </c>
      <c r="AA16" s="5">
        <v>1500</v>
      </c>
      <c r="AK16" s="301" t="s">
        <v>263</v>
      </c>
      <c r="AL16" s="301"/>
      <c r="AM16" s="301"/>
    </row>
    <row r="17" spans="1:39" ht="12.75" customHeight="1" x14ac:dyDescent="0.25">
      <c r="A17" s="125" t="s">
        <v>557</v>
      </c>
      <c r="B17" s="126" t="s">
        <v>71</v>
      </c>
      <c r="C17" s="127" t="s">
        <v>335</v>
      </c>
      <c r="D17" s="127" t="s">
        <v>274</v>
      </c>
      <c r="E17" s="128">
        <v>30866</v>
      </c>
      <c r="F17" s="129">
        <v>15000</v>
      </c>
      <c r="G17" s="128">
        <v>5</v>
      </c>
      <c r="H17" s="134">
        <v>1000</v>
      </c>
      <c r="I17" s="136">
        <v>7</v>
      </c>
      <c r="J17" s="131">
        <v>1.1000000000000001</v>
      </c>
      <c r="K17" s="127" t="s">
        <v>269</v>
      </c>
      <c r="L17" s="129">
        <v>10.468032786885246</v>
      </c>
      <c r="M17" s="132"/>
      <c r="N17"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7"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0.88995652005357517</v>
      </c>
      <c r="P17"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7"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7" s="105">
        <f>IF(Operations[[#This Row],[Calc List Price]]=0,0,IF(Operations[[#This Row],[Units per Hour]]*Operations[[#This Row],[Annual Use]]=0,0,(Operations[[#This Row],[Calc Beg Yr. Value]]-Operations[[#This Row],[Calc End Yr. Value]])/(Operations[[#This Row],[Annual Use]])))</f>
        <v>1.6204907619754794</v>
      </c>
      <c r="S17" s="106">
        <f>IF(Operations[[#This Row],[Annual Use]]=0,0,Operations[[#This Row],[Calc Beg Yr. Value]]*'General Variables'!$B$9/Operations[[#This Row],[Annual Use]])</f>
        <v>0.35943052428545919</v>
      </c>
      <c r="T17" s="106">
        <f>IF(Operations[[#This Row],[Annual Use]]=0,0,Operations[[#This Row],[Calc Beg Yr. Value]]*'General Variables'!$B$10/Operations[[#This Row],[Annual Use]])</f>
        <v>0.71886104857091837</v>
      </c>
      <c r="U17" s="106">
        <f>SUM(Operations[[#This Row],[Depreciation per Unit]:[Opportunity Cost per Unit]])</f>
        <v>2.6987823348318569</v>
      </c>
      <c r="W17" s="3" t="s">
        <v>163</v>
      </c>
      <c r="X17" s="3" t="s">
        <v>121</v>
      </c>
      <c r="Y17" s="4" t="s">
        <v>164</v>
      </c>
      <c r="Z17" s="4" t="s">
        <v>131</v>
      </c>
      <c r="AA17" s="6">
        <v>2500</v>
      </c>
      <c r="AK17" s="301"/>
      <c r="AL17" s="301"/>
      <c r="AM17" s="301"/>
    </row>
    <row r="18" spans="1:39" ht="12.75" customHeight="1" x14ac:dyDescent="0.25">
      <c r="A18" s="125" t="s">
        <v>563</v>
      </c>
      <c r="B18" s="126" t="s">
        <v>71</v>
      </c>
      <c r="C18" s="127" t="s">
        <v>335</v>
      </c>
      <c r="D18" s="127" t="s">
        <v>274</v>
      </c>
      <c r="E18" s="138">
        <v>35000</v>
      </c>
      <c r="F18" s="129"/>
      <c r="G18" s="128">
        <v>5</v>
      </c>
      <c r="H18" s="128">
        <v>1000</v>
      </c>
      <c r="I18" s="133">
        <v>7</v>
      </c>
      <c r="J18" s="131">
        <v>1.1000000000000001</v>
      </c>
      <c r="K18" s="127" t="s">
        <v>269</v>
      </c>
      <c r="L18" s="129">
        <v>10.5</v>
      </c>
      <c r="M18" s="132"/>
      <c r="N18"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18"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1.0091517592780126</v>
      </c>
      <c r="P18"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20378.520621381245</v>
      </c>
      <c r="Q18"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18540.991409007056</v>
      </c>
      <c r="R18" s="105">
        <f>IF(Operations[[#This Row],[Calc List Price]]=0,0,IF(Operations[[#This Row],[Units per Hour]]*Operations[[#This Row],[Annual Use]]=0,0,(Operations[[#This Row],[Calc Beg Yr. Value]]-Operations[[#This Row],[Calc End Yr. Value]])/(Operations[[#This Row],[Annual Use]])))</f>
        <v>1.8375292123741893</v>
      </c>
      <c r="S18" s="106">
        <f>IF(Operations[[#This Row],[Annual Use]]=0,0,Operations[[#This Row],[Calc Beg Yr. Value]]*'General Variables'!$B$9/Operations[[#This Row],[Annual Use]])</f>
        <v>0.40757041242762487</v>
      </c>
      <c r="T18" s="106">
        <f>IF(Operations[[#This Row],[Annual Use]]=0,0,Operations[[#This Row],[Calc Beg Yr. Value]]*'General Variables'!$B$10/Operations[[#This Row],[Annual Use]])</f>
        <v>0.81514082485524975</v>
      </c>
      <c r="U18" s="106">
        <f>SUM(Operations[[#This Row],[Depreciation per Unit]:[Opportunity Cost per Unit]])</f>
        <v>3.0602404496570639</v>
      </c>
      <c r="W18" s="3" t="s">
        <v>167</v>
      </c>
      <c r="X18" s="3" t="s">
        <v>136</v>
      </c>
      <c r="Y18" s="4" t="s">
        <v>148</v>
      </c>
      <c r="Z18" s="4" t="s">
        <v>134</v>
      </c>
      <c r="AA18" s="6">
        <v>2000</v>
      </c>
      <c r="AK18" s="301"/>
      <c r="AL18" s="301"/>
      <c r="AM18" s="301"/>
    </row>
    <row r="19" spans="1:39" ht="12.75" customHeight="1" x14ac:dyDescent="0.25">
      <c r="A19" s="125" t="s">
        <v>445</v>
      </c>
      <c r="B19" s="126" t="s">
        <v>71</v>
      </c>
      <c r="C19" s="127" t="s">
        <v>336</v>
      </c>
      <c r="D19" s="127" t="s">
        <v>354</v>
      </c>
      <c r="E19" s="128">
        <v>29000</v>
      </c>
      <c r="F19" s="129"/>
      <c r="G19" s="128">
        <v>5</v>
      </c>
      <c r="H19" s="128">
        <v>300</v>
      </c>
      <c r="I19" s="133">
        <v>7.0212765957446823</v>
      </c>
      <c r="J19" s="131">
        <v>1.1000000000000001</v>
      </c>
      <c r="K19" s="127" t="s">
        <v>468</v>
      </c>
      <c r="L19" s="129">
        <v>4.3882978723404262</v>
      </c>
      <c r="M19" s="132"/>
      <c r="N19"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19"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0.87449437609171321</v>
      </c>
      <c r="P19"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19"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19" s="105">
        <f>IF(Operations[[#This Row],[Calc List Price]]=0,0,IF(Operations[[#This Row],[Units per Hour]]*Operations[[#This Row],[Annual Use]]=0,0,(Operations[[#This Row],[Calc Beg Yr. Value]]-Operations[[#This Row],[Calc End Yr. Value]])/(Operations[[#This Row],[Annual Use]])))</f>
        <v>2.8743769949821338</v>
      </c>
      <c r="S19" s="106">
        <f>IF(Operations[[#This Row],[Annual Use]]=0,0,Operations[[#This Row],[Calc Beg Yr. Value]]*'General Variables'!$B$9/Operations[[#This Row],[Annual Use]])</f>
        <v>0.80439611309761616</v>
      </c>
      <c r="T19" s="106">
        <f>IF(Operations[[#This Row],[Annual Use]]=0,0,Operations[[#This Row],[Calc Beg Yr. Value]]*'General Variables'!$B$10/Operations[[#This Row],[Annual Use]])</f>
        <v>1.6087922261952323</v>
      </c>
      <c r="U19" s="106">
        <f>SUM(Operations[[#This Row],[Depreciation per Unit]:[Opportunity Cost per Unit]])</f>
        <v>5.2875653342749827</v>
      </c>
      <c r="W19" s="3" t="s">
        <v>168</v>
      </c>
      <c r="X19" s="3" t="s">
        <v>121</v>
      </c>
      <c r="Y19" s="4" t="s">
        <v>169</v>
      </c>
      <c r="Z19" s="4" t="s">
        <v>154</v>
      </c>
      <c r="AA19" s="6">
        <v>2000</v>
      </c>
      <c r="AK19" s="301"/>
      <c r="AL19" s="301"/>
      <c r="AM19" s="301"/>
    </row>
    <row r="20" spans="1:39" ht="12.75" customHeight="1" x14ac:dyDescent="0.25">
      <c r="A20" s="125" t="s">
        <v>288</v>
      </c>
      <c r="B20" s="126" t="s">
        <v>71</v>
      </c>
      <c r="C20" s="127" t="s">
        <v>337</v>
      </c>
      <c r="D20" s="127" t="s">
        <v>354</v>
      </c>
      <c r="E20" s="128">
        <v>39688</v>
      </c>
      <c r="F20" s="129"/>
      <c r="G20" s="128">
        <v>5</v>
      </c>
      <c r="H20" s="128">
        <v>2000</v>
      </c>
      <c r="I20" s="135">
        <v>10.90909090909091</v>
      </c>
      <c r="J20" s="131">
        <v>1.1000000000000001</v>
      </c>
      <c r="K20" s="127" t="s">
        <v>467</v>
      </c>
      <c r="L20" s="129">
        <v>8.290909090909091</v>
      </c>
      <c r="M20" s="132"/>
      <c r="N20"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39688</v>
      </c>
      <c r="O20"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1.1194099693616886</v>
      </c>
      <c r="P20"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16512.86531204389</v>
      </c>
      <c r="Q20"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15332.745234352329</v>
      </c>
      <c r="R20" s="105">
        <f>IF(Operations[[#This Row],[Calc List Price]]=0,0,IF(Operations[[#This Row],[Units per Hour]]*Operations[[#This Row],[Annual Use]]=0,0,(Operations[[#This Row],[Calc Beg Yr. Value]]-Operations[[#This Row],[Calc End Yr. Value]])/(Operations[[#This Row],[Annual Use]])))</f>
        <v>0.59006003884578062</v>
      </c>
      <c r="S20" s="106">
        <f>IF(Operations[[#This Row],[Annual Use]]=0,0,Operations[[#This Row],[Calc Beg Yr. Value]]*'General Variables'!$B$9/Operations[[#This Row],[Annual Use]])</f>
        <v>0.16512865312043892</v>
      </c>
      <c r="T20" s="106">
        <f>IF(Operations[[#This Row],[Annual Use]]=0,0,Operations[[#This Row],[Calc Beg Yr. Value]]*'General Variables'!$B$10/Operations[[#This Row],[Annual Use]])</f>
        <v>0.33025730624087785</v>
      </c>
      <c r="U20" s="106">
        <f>SUM(Operations[[#This Row],[Depreciation per Unit]:[Opportunity Cost per Unit]])</f>
        <v>1.0854459982070974</v>
      </c>
      <c r="W20" s="3" t="s">
        <v>170</v>
      </c>
      <c r="X20" s="3" t="s">
        <v>121</v>
      </c>
      <c r="Y20" s="4" t="s">
        <v>171</v>
      </c>
      <c r="Z20" s="4" t="s">
        <v>117</v>
      </c>
      <c r="AA20" s="6">
        <v>2000</v>
      </c>
      <c r="AK20" s="109"/>
      <c r="AL20" s="109"/>
      <c r="AM20" s="109"/>
    </row>
    <row r="21" spans="1:39" ht="12.75" customHeight="1" x14ac:dyDescent="0.25">
      <c r="A21" s="125" t="s">
        <v>289</v>
      </c>
      <c r="B21" s="126" t="s">
        <v>443</v>
      </c>
      <c r="C21" s="126"/>
      <c r="D21" s="126"/>
      <c r="E21" s="128"/>
      <c r="F21" s="129"/>
      <c r="G21" s="128">
        <v>5</v>
      </c>
      <c r="H21" s="128">
        <v>1000</v>
      </c>
      <c r="I21" s="133">
        <v>1.8</v>
      </c>
      <c r="J21" s="139">
        <v>0.1</v>
      </c>
      <c r="K21" s="127" t="s">
        <v>456</v>
      </c>
      <c r="L21" s="129">
        <v>0</v>
      </c>
      <c r="M21" s="132"/>
      <c r="N21"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1"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1"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1"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1" s="105">
        <f>IF(Operations[[#This Row],[Calc List Price]]=0,0,IF(Operations[[#This Row],[Units per Hour]]*Operations[[#This Row],[Annual Use]]=0,0,(Operations[[#This Row],[Calc Beg Yr. Value]]-Operations[[#This Row],[Calc End Yr. Value]])/(Operations[[#This Row],[Annual Use]])))</f>
        <v>0</v>
      </c>
      <c r="S21" s="106">
        <f>IF(Operations[[#This Row],[Annual Use]]=0,0,Operations[[#This Row],[Calc Beg Yr. Value]]*'General Variables'!$B$9/Operations[[#This Row],[Annual Use]])</f>
        <v>0</v>
      </c>
      <c r="T21" s="106">
        <f>IF(Operations[[#This Row],[Annual Use]]=0,0,Operations[[#This Row],[Calc Beg Yr. Value]]*'General Variables'!$B$10/Operations[[#This Row],[Annual Use]])</f>
        <v>0</v>
      </c>
      <c r="U21" s="106">
        <f>SUM(Operations[[#This Row],[Depreciation per Unit]:[Opportunity Cost per Unit]])</f>
        <v>0</v>
      </c>
      <c r="W21" s="3" t="s">
        <v>172</v>
      </c>
      <c r="X21" s="3" t="s">
        <v>121</v>
      </c>
      <c r="Y21" s="4" t="s">
        <v>153</v>
      </c>
      <c r="Z21" s="4" t="s">
        <v>131</v>
      </c>
      <c r="AA21" s="5">
        <v>2500</v>
      </c>
    </row>
    <row r="22" spans="1:39" ht="12.75" customHeight="1" x14ac:dyDescent="0.25">
      <c r="A22" s="125" t="s">
        <v>290</v>
      </c>
      <c r="B22" s="126" t="s">
        <v>71</v>
      </c>
      <c r="C22" s="127" t="s">
        <v>338</v>
      </c>
      <c r="D22" s="127" t="s">
        <v>329</v>
      </c>
      <c r="E22" s="134">
        <v>7187</v>
      </c>
      <c r="F22" s="129"/>
      <c r="G22" s="128">
        <v>20</v>
      </c>
      <c r="H22" s="128">
        <v>300</v>
      </c>
      <c r="I22" s="133">
        <v>20</v>
      </c>
      <c r="J22" s="131">
        <v>1.1000000000000001</v>
      </c>
      <c r="K22" s="127" t="s">
        <v>468</v>
      </c>
      <c r="L22" s="129">
        <v>2.1070422535211271</v>
      </c>
      <c r="M22" s="132"/>
      <c r="N22"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22"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5.336079836303572E-2</v>
      </c>
      <c r="P22"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1059.9629345263218</v>
      </c>
      <c r="Q22"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1005.2114640884894</v>
      </c>
      <c r="R22" s="105">
        <f>IF(Operations[[#This Row],[Calc List Price]]=0,0,IF(Operations[[#This Row],[Units per Hour]]*Operations[[#This Row],[Annual Use]]=0,0,(Operations[[#This Row],[Calc Beg Yr. Value]]-Operations[[#This Row],[Calc End Yr. Value]])/(Operations[[#This Row],[Annual Use]])))</f>
        <v>0.18250490145944126</v>
      </c>
      <c r="S22" s="106">
        <f>IF(Operations[[#This Row],[Annual Use]]=0,0,Operations[[#This Row],[Calc Beg Yr. Value]]*'General Variables'!$B$9/Operations[[#This Row],[Annual Use]])</f>
        <v>7.066419563508812E-2</v>
      </c>
      <c r="T22" s="106">
        <f>IF(Operations[[#This Row],[Annual Use]]=0,0,Operations[[#This Row],[Calc Beg Yr. Value]]*'General Variables'!$B$10/Operations[[#This Row],[Annual Use]])</f>
        <v>0.14132839127017624</v>
      </c>
      <c r="U22" s="106">
        <f>SUM(Operations[[#This Row],[Depreciation per Unit]:[Opportunity Cost per Unit]])</f>
        <v>0.39449748836470566</v>
      </c>
      <c r="W22" s="3" t="s">
        <v>173</v>
      </c>
      <c r="X22" s="3" t="s">
        <v>121</v>
      </c>
      <c r="Y22" s="4" t="s">
        <v>174</v>
      </c>
      <c r="Z22" s="4" t="s">
        <v>117</v>
      </c>
      <c r="AA22" s="6">
        <v>2500</v>
      </c>
    </row>
    <row r="23" spans="1:39" ht="12.75" customHeight="1" x14ac:dyDescent="0.25">
      <c r="A23" s="125" t="s">
        <v>291</v>
      </c>
      <c r="B23" s="126" t="s">
        <v>71</v>
      </c>
      <c r="C23" s="127" t="s">
        <v>339</v>
      </c>
      <c r="D23" s="127" t="s">
        <v>356</v>
      </c>
      <c r="E23" s="128">
        <v>62454</v>
      </c>
      <c r="F23" s="129"/>
      <c r="G23" s="128">
        <v>10</v>
      </c>
      <c r="H23" s="128">
        <v>1000</v>
      </c>
      <c r="I23" s="135">
        <v>12.5</v>
      </c>
      <c r="J23" s="131">
        <v>1.1000000000000001</v>
      </c>
      <c r="K23" s="127" t="s">
        <v>468</v>
      </c>
      <c r="L23" s="129">
        <v>4.9866666666666672</v>
      </c>
      <c r="M23" s="132"/>
      <c r="N23"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3"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2.7716908704705308</v>
      </c>
      <c r="P23"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3"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3" s="105">
        <f>IF(Operations[[#This Row],[Calc List Price]]=0,0,IF(Operations[[#This Row],[Units per Hour]]*Operations[[#This Row],[Annual Use]]=0,0,(Operations[[#This Row],[Calc Beg Yr. Value]]-Operations[[#This Row],[Calc End Yr. Value]])/(Operations[[#This Row],[Annual Use]])))</f>
        <v>0.94786488817210557</v>
      </c>
      <c r="S23" s="106">
        <f>IF(Operations[[#This Row],[Annual Use]]=0,0,Operations[[#This Row],[Calc Beg Yr. Value]]*'General Variables'!$B$9/Operations[[#This Row],[Annual Use]])</f>
        <v>0.50579193403318978</v>
      </c>
      <c r="T23" s="106">
        <f>IF(Operations[[#This Row],[Annual Use]]=0,0,Operations[[#This Row],[Calc Beg Yr. Value]]*'General Variables'!$B$10/Operations[[#This Row],[Annual Use]])</f>
        <v>1.0115838680663796</v>
      </c>
      <c r="U23" s="106">
        <f>SUM(Operations[[#This Row],[Depreciation per Unit]:[Opportunity Cost per Unit]])</f>
        <v>2.465240690271675</v>
      </c>
      <c r="W23" s="3" t="s">
        <v>175</v>
      </c>
      <c r="X23" s="3" t="s">
        <v>136</v>
      </c>
      <c r="Y23" s="4" t="s">
        <v>174</v>
      </c>
      <c r="Z23" s="4" t="s">
        <v>160</v>
      </c>
      <c r="AA23" s="6">
        <v>2000</v>
      </c>
    </row>
    <row r="24" spans="1:39" ht="12.75" customHeight="1" x14ac:dyDescent="0.25">
      <c r="A24" s="125" t="s">
        <v>530</v>
      </c>
      <c r="B24" s="126" t="s">
        <v>71</v>
      </c>
      <c r="C24" s="127" t="s">
        <v>339</v>
      </c>
      <c r="D24" s="127" t="s">
        <v>356</v>
      </c>
      <c r="E24" s="128">
        <v>62454</v>
      </c>
      <c r="F24" s="129"/>
      <c r="G24" s="128">
        <v>10</v>
      </c>
      <c r="H24" s="128">
        <v>1000</v>
      </c>
      <c r="I24" s="130">
        <v>11</v>
      </c>
      <c r="J24" s="131">
        <v>1.2</v>
      </c>
      <c r="K24" s="127" t="s">
        <v>468</v>
      </c>
      <c r="L24" s="129">
        <v>5</v>
      </c>
      <c r="M24" s="132"/>
      <c r="N24"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4"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3.6251933930499831</v>
      </c>
      <c r="P24"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4"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4" s="105">
        <f>IF(Operations[[#This Row],[Calc List Price]]=0,0,IF(Operations[[#This Row],[Units per Hour]]*Operations[[#This Row],[Annual Use]]=0,0,(Operations[[#This Row],[Calc Beg Yr. Value]]-Operations[[#This Row],[Calc End Yr. Value]])/(Operations[[#This Row],[Annual Use]])))</f>
        <v>0.94786488817210557</v>
      </c>
      <c r="S24" s="106">
        <f>IF(Operations[[#This Row],[Annual Use]]=0,0,Operations[[#This Row],[Calc Beg Yr. Value]]*'General Variables'!$B$9/Operations[[#This Row],[Annual Use]])</f>
        <v>0.50579193403318978</v>
      </c>
      <c r="T24" s="106">
        <f>IF(Operations[[#This Row],[Annual Use]]=0,0,Operations[[#This Row],[Calc Beg Yr. Value]]*'General Variables'!$B$10/Operations[[#This Row],[Annual Use]])</f>
        <v>1.0115838680663796</v>
      </c>
      <c r="U24" s="106">
        <f>SUM(Operations[[#This Row],[Depreciation per Unit]:[Opportunity Cost per Unit]])</f>
        <v>2.465240690271675</v>
      </c>
      <c r="W24" s="3" t="s">
        <v>176</v>
      </c>
      <c r="X24" s="3" t="s">
        <v>136</v>
      </c>
      <c r="Y24" s="4" t="s">
        <v>157</v>
      </c>
      <c r="Z24" s="4" t="s">
        <v>142</v>
      </c>
      <c r="AA24" s="6">
        <v>1500</v>
      </c>
    </row>
    <row r="25" spans="1:39" ht="12.75" customHeight="1" x14ac:dyDescent="0.25">
      <c r="A25" s="125" t="s">
        <v>292</v>
      </c>
      <c r="B25" s="126" t="s">
        <v>436</v>
      </c>
      <c r="C25" s="126"/>
      <c r="D25" s="126"/>
      <c r="E25" s="128"/>
      <c r="F25" s="129"/>
      <c r="G25" s="128"/>
      <c r="H25" s="128"/>
      <c r="I25" s="133" t="s">
        <v>395</v>
      </c>
      <c r="J25" s="131"/>
      <c r="K25" s="127"/>
      <c r="L25" s="129" t="s">
        <v>395</v>
      </c>
      <c r="M25" s="132"/>
      <c r="N25"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5"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5"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5"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5" s="105">
        <f>IF(Operations[[#This Row],[Calc List Price]]=0,0,IF(Operations[[#This Row],[Units per Hour]]*Operations[[#This Row],[Annual Use]]=0,0,(Operations[[#This Row],[Calc Beg Yr. Value]]-Operations[[#This Row],[Calc End Yr. Value]])/(Operations[[#This Row],[Annual Use]])))</f>
        <v>0</v>
      </c>
      <c r="S25" s="106">
        <f>IF(Operations[[#This Row],[Annual Use]]=0,0,Operations[[#This Row],[Calc Beg Yr. Value]]*'General Variables'!$B$9/Operations[[#This Row],[Annual Use]])</f>
        <v>0</v>
      </c>
      <c r="T25" s="106">
        <f>IF(Operations[[#This Row],[Annual Use]]=0,0,Operations[[#This Row],[Calc Beg Yr. Value]]*'General Variables'!$B$10/Operations[[#This Row],[Annual Use]])</f>
        <v>0</v>
      </c>
      <c r="U25" s="106">
        <f>SUM(Operations[[#This Row],[Depreciation per Unit]:[Opportunity Cost per Unit]])</f>
        <v>0</v>
      </c>
      <c r="W25" s="3" t="s">
        <v>177</v>
      </c>
      <c r="X25" s="3" t="s">
        <v>136</v>
      </c>
      <c r="Y25" s="4" t="s">
        <v>178</v>
      </c>
      <c r="Z25" s="4" t="s">
        <v>123</v>
      </c>
      <c r="AA25" s="5">
        <v>2000</v>
      </c>
    </row>
    <row r="26" spans="1:39" ht="12.75" customHeight="1" x14ac:dyDescent="0.25">
      <c r="A26" s="125" t="s">
        <v>293</v>
      </c>
      <c r="B26" s="126" t="s">
        <v>71</v>
      </c>
      <c r="C26" s="127" t="s">
        <v>340</v>
      </c>
      <c r="D26" s="127" t="s">
        <v>354</v>
      </c>
      <c r="E26" s="128">
        <v>56958</v>
      </c>
      <c r="F26" s="129"/>
      <c r="G26" s="128">
        <v>5</v>
      </c>
      <c r="H26" s="128">
        <v>2000</v>
      </c>
      <c r="I26" s="133">
        <v>12.5</v>
      </c>
      <c r="J26" s="131">
        <v>1.1000000000000001</v>
      </c>
      <c r="K26" s="127" t="s">
        <v>467</v>
      </c>
      <c r="L26" s="129">
        <v>8.6225806451612925</v>
      </c>
      <c r="M26" s="132"/>
      <c r="N26"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6"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0.91185750135427124</v>
      </c>
      <c r="P26"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6"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6" s="105">
        <f>IF(Operations[[#This Row],[Calc List Price]]=0,0,IF(Operations[[#This Row],[Units per Hour]]*Operations[[#This Row],[Annual Use]]=0,0,(Operations[[#This Row],[Calc Beg Yr. Value]]-Operations[[#This Row],[Calc End Yr. Value]])/(Operations[[#This Row],[Annual Use]])))</f>
        <v>0.84682119765616704</v>
      </c>
      <c r="S26" s="106">
        <f>IF(Operations[[#This Row],[Annual Use]]=0,0,Operations[[#This Row],[Calc Beg Yr. Value]]*'General Variables'!$B$9/Operations[[#This Row],[Annual Use]])</f>
        <v>0.23698341625765873</v>
      </c>
      <c r="T26" s="106">
        <f>IF(Operations[[#This Row],[Annual Use]]=0,0,Operations[[#This Row],[Calc Beg Yr. Value]]*'General Variables'!$B$10/Operations[[#This Row],[Annual Use]])</f>
        <v>0.47396683251531746</v>
      </c>
      <c r="U26" s="106">
        <f>SUM(Operations[[#This Row],[Depreciation per Unit]:[Opportunity Cost per Unit]])</f>
        <v>1.5577714464291432</v>
      </c>
      <c r="W26" s="3" t="s">
        <v>179</v>
      </c>
      <c r="X26" s="3" t="s">
        <v>121</v>
      </c>
      <c r="Y26" s="4" t="s">
        <v>180</v>
      </c>
      <c r="Z26" s="4" t="s">
        <v>134</v>
      </c>
      <c r="AA26" s="6">
        <v>2500</v>
      </c>
    </row>
    <row r="27" spans="1:39" ht="12.75" customHeight="1" x14ac:dyDescent="0.25">
      <c r="A27" s="125" t="s">
        <v>294</v>
      </c>
      <c r="B27" s="126" t="s">
        <v>71</v>
      </c>
      <c r="C27" s="127" t="s">
        <v>336</v>
      </c>
      <c r="D27" s="127" t="s">
        <v>354</v>
      </c>
      <c r="E27" s="128">
        <v>56958</v>
      </c>
      <c r="F27" s="129"/>
      <c r="G27" s="128">
        <v>5</v>
      </c>
      <c r="H27" s="128">
        <v>2000</v>
      </c>
      <c r="I27" s="133">
        <v>15</v>
      </c>
      <c r="J27" s="131">
        <v>1.1000000000000001</v>
      </c>
      <c r="K27" s="127" t="s">
        <v>468</v>
      </c>
      <c r="L27" s="129">
        <v>8.1967741935483875</v>
      </c>
      <c r="M27" s="132"/>
      <c r="N27"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7"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1.2674534054995306</v>
      </c>
      <c r="P27"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7"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7" s="105">
        <f>IF(Operations[[#This Row],[Calc List Price]]=0,0,IF(Operations[[#This Row],[Units per Hour]]*Operations[[#This Row],[Annual Use]]=0,0,(Operations[[#This Row],[Calc Beg Yr. Value]]-Operations[[#This Row],[Calc End Yr. Value]])/(Operations[[#This Row],[Annual Use]])))</f>
        <v>0.84682119765616704</v>
      </c>
      <c r="S27" s="106">
        <f>IF(Operations[[#This Row],[Annual Use]]=0,0,Operations[[#This Row],[Calc Beg Yr. Value]]*'General Variables'!$B$9/Operations[[#This Row],[Annual Use]])</f>
        <v>0.23698341625765873</v>
      </c>
      <c r="T27" s="106">
        <f>IF(Operations[[#This Row],[Annual Use]]=0,0,Operations[[#This Row],[Calc Beg Yr. Value]]*'General Variables'!$B$10/Operations[[#This Row],[Annual Use]])</f>
        <v>0.47396683251531746</v>
      </c>
      <c r="U27" s="106">
        <f>SUM(Operations[[#This Row],[Depreciation per Unit]:[Opportunity Cost per Unit]])</f>
        <v>1.5577714464291432</v>
      </c>
      <c r="W27" s="3" t="s">
        <v>181</v>
      </c>
      <c r="X27" s="3" t="s">
        <v>121</v>
      </c>
      <c r="Y27" s="4" t="s">
        <v>150</v>
      </c>
      <c r="Z27" s="4" t="s">
        <v>134</v>
      </c>
      <c r="AA27" s="6">
        <v>2500</v>
      </c>
    </row>
    <row r="28" spans="1:39" ht="12.75" customHeight="1" x14ac:dyDescent="0.25">
      <c r="A28" s="125" t="s">
        <v>33</v>
      </c>
      <c r="B28" s="126" t="s">
        <v>71</v>
      </c>
      <c r="C28" s="126" t="s">
        <v>339</v>
      </c>
      <c r="D28" s="126" t="s">
        <v>356</v>
      </c>
      <c r="E28" s="128">
        <v>73000</v>
      </c>
      <c r="F28" s="129"/>
      <c r="G28" s="128">
        <v>10</v>
      </c>
      <c r="H28" s="128">
        <v>1000</v>
      </c>
      <c r="I28" s="133">
        <v>9</v>
      </c>
      <c r="J28" s="131">
        <v>1.1000000000000001</v>
      </c>
      <c r="K28" s="127" t="s">
        <v>468</v>
      </c>
      <c r="L28" s="129">
        <v>4.2936802973977706</v>
      </c>
      <c r="M28" s="132"/>
      <c r="N28"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73000</v>
      </c>
      <c r="O28"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6.4581651991214715</v>
      </c>
      <c r="P28"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29560.005111300201</v>
      </c>
      <c r="Q28"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28452.083491603084</v>
      </c>
      <c r="R28" s="105">
        <f>IF(Operations[[#This Row],[Calc List Price]]=0,0,IF(Operations[[#This Row],[Units per Hour]]*Operations[[#This Row],[Annual Use]]=0,0,(Operations[[#This Row],[Calc Beg Yr. Value]]-Operations[[#This Row],[Calc End Yr. Value]])/(Operations[[#This Row],[Annual Use]])))</f>
        <v>1.1079216196971173</v>
      </c>
      <c r="S28" s="106">
        <f>IF(Operations[[#This Row],[Annual Use]]=0,0,Operations[[#This Row],[Calc Beg Yr. Value]]*'General Variables'!$B$9/Operations[[#This Row],[Annual Use]])</f>
        <v>0.59120010222600394</v>
      </c>
      <c r="T28" s="106">
        <f>IF(Operations[[#This Row],[Annual Use]]=0,0,Operations[[#This Row],[Calc Beg Yr. Value]]*'General Variables'!$B$10/Operations[[#This Row],[Annual Use]])</f>
        <v>1.1824002044520079</v>
      </c>
      <c r="U28" s="106">
        <f>SUM(Operations[[#This Row],[Depreciation per Unit]:[Opportunity Cost per Unit]])</f>
        <v>2.8815219263751288</v>
      </c>
      <c r="W28" s="3" t="s">
        <v>182</v>
      </c>
      <c r="X28" s="3" t="s">
        <v>136</v>
      </c>
      <c r="Y28" s="4" t="s">
        <v>174</v>
      </c>
      <c r="Z28" s="4" t="s">
        <v>160</v>
      </c>
      <c r="AA28" s="6">
        <v>2000</v>
      </c>
    </row>
    <row r="29" spans="1:39" ht="12.75" customHeight="1" x14ac:dyDescent="0.25">
      <c r="A29" s="125" t="s">
        <v>295</v>
      </c>
      <c r="B29" s="126" t="s">
        <v>71</v>
      </c>
      <c r="C29" s="127" t="s">
        <v>341</v>
      </c>
      <c r="D29" s="127" t="s">
        <v>354</v>
      </c>
      <c r="E29" s="128"/>
      <c r="F29" s="129"/>
      <c r="G29" s="128">
        <v>5</v>
      </c>
      <c r="H29" s="128">
        <v>1000</v>
      </c>
      <c r="I29" s="133">
        <v>18.591549295774648</v>
      </c>
      <c r="J29" s="131">
        <v>1.1000000000000001</v>
      </c>
      <c r="K29" s="127" t="s">
        <v>468</v>
      </c>
      <c r="L29" s="129">
        <v>2.0450704225352112</v>
      </c>
      <c r="M29" s="132"/>
      <c r="N29"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9"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9"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9"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9" s="105">
        <f>IF(Operations[[#This Row],[Calc List Price]]=0,0,IF(Operations[[#This Row],[Units per Hour]]*Operations[[#This Row],[Annual Use]]=0,0,(Operations[[#This Row],[Calc Beg Yr. Value]]-Operations[[#This Row],[Calc End Yr. Value]])/(Operations[[#This Row],[Annual Use]])))</f>
        <v>0</v>
      </c>
      <c r="S29" s="106">
        <f>IF(Operations[[#This Row],[Annual Use]]=0,0,Operations[[#This Row],[Calc Beg Yr. Value]]*'General Variables'!$B$9/Operations[[#This Row],[Annual Use]])</f>
        <v>0</v>
      </c>
      <c r="T29" s="106">
        <f>IF(Operations[[#This Row],[Annual Use]]=0,0,Operations[[#This Row],[Calc Beg Yr. Value]]*'General Variables'!$B$10/Operations[[#This Row],[Annual Use]])</f>
        <v>0</v>
      </c>
      <c r="U29" s="106">
        <f>SUM(Operations[[#This Row],[Depreciation per Unit]:[Opportunity Cost per Unit]])</f>
        <v>0</v>
      </c>
      <c r="W29" s="3" t="s">
        <v>183</v>
      </c>
      <c r="X29" s="3" t="s">
        <v>136</v>
      </c>
      <c r="Y29" s="4" t="s">
        <v>127</v>
      </c>
      <c r="Z29" s="4" t="s">
        <v>134</v>
      </c>
      <c r="AA29" s="6">
        <v>2000</v>
      </c>
    </row>
    <row r="30" spans="1:39" ht="12.75" customHeight="1" x14ac:dyDescent="0.25">
      <c r="A30" s="125" t="s">
        <v>296</v>
      </c>
      <c r="B30" s="126" t="s">
        <v>71</v>
      </c>
      <c r="C30" s="127" t="s">
        <v>343</v>
      </c>
      <c r="D30" s="127" t="s">
        <v>354</v>
      </c>
      <c r="E30" s="128">
        <v>22000</v>
      </c>
      <c r="F30" s="129">
        <v>3000</v>
      </c>
      <c r="G30" s="128">
        <v>5</v>
      </c>
      <c r="H30" s="128">
        <v>1000</v>
      </c>
      <c r="I30" s="133">
        <v>14.666666666666668</v>
      </c>
      <c r="J30" s="131">
        <v>1.1000000000000001</v>
      </c>
      <c r="K30" s="127" t="s">
        <v>468</v>
      </c>
      <c r="L30" s="129">
        <v>3.666666666666667</v>
      </c>
      <c r="M30" s="132"/>
      <c r="N30"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22000</v>
      </c>
      <c r="O30"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0.32614880979104605</v>
      </c>
      <c r="P30"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9153.4730111108056</v>
      </c>
      <c r="Q30"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8499.3044536321122</v>
      </c>
      <c r="R30" s="105">
        <f>IF(Operations[[#This Row],[Calc List Price]]=0,0,IF(Operations[[#This Row],[Units per Hour]]*Operations[[#This Row],[Annual Use]]=0,0,(Operations[[#This Row],[Calc Beg Yr. Value]]-Operations[[#This Row],[Calc End Yr. Value]])/(Operations[[#This Row],[Annual Use]])))</f>
        <v>0.6541685574786934</v>
      </c>
      <c r="S30" s="106">
        <f>IF(Operations[[#This Row],[Annual Use]]=0,0,Operations[[#This Row],[Calc Beg Yr. Value]]*'General Variables'!$B$9/Operations[[#This Row],[Annual Use]])</f>
        <v>0.18306946022221612</v>
      </c>
      <c r="T30" s="106">
        <f>IF(Operations[[#This Row],[Annual Use]]=0,0,Operations[[#This Row],[Calc Beg Yr. Value]]*'General Variables'!$B$10/Operations[[#This Row],[Annual Use]])</f>
        <v>0.36613892044443225</v>
      </c>
      <c r="U30" s="106">
        <f>SUM(Operations[[#This Row],[Depreciation per Unit]:[Opportunity Cost per Unit]])</f>
        <v>1.2033769381453419</v>
      </c>
      <c r="W30" s="3" t="s">
        <v>184</v>
      </c>
      <c r="X30" s="3" t="s">
        <v>136</v>
      </c>
      <c r="Y30" s="4" t="s">
        <v>185</v>
      </c>
      <c r="Z30" s="4" t="s">
        <v>117</v>
      </c>
      <c r="AA30" s="6">
        <v>1500</v>
      </c>
    </row>
    <row r="31" spans="1:39" ht="12.75" customHeight="1" x14ac:dyDescent="0.25">
      <c r="A31" s="125" t="s">
        <v>297</v>
      </c>
      <c r="B31" s="126" t="s">
        <v>64</v>
      </c>
      <c r="C31" s="127" t="s">
        <v>344</v>
      </c>
      <c r="D31" s="127" t="s">
        <v>357</v>
      </c>
      <c r="E31" s="128">
        <v>21396</v>
      </c>
      <c r="F31" s="129"/>
      <c r="G31" s="128">
        <v>5</v>
      </c>
      <c r="H31" s="128">
        <v>1000</v>
      </c>
      <c r="I31" s="133">
        <v>10</v>
      </c>
      <c r="J31" s="131">
        <v>1.1000000000000001</v>
      </c>
      <c r="K31" s="127" t="s">
        <v>468</v>
      </c>
      <c r="L31" s="129">
        <v>2.8761467889908259</v>
      </c>
      <c r="M31" s="132"/>
      <c r="N31"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21396</v>
      </c>
      <c r="O31"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1.0262847461477052</v>
      </c>
      <c r="P31"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8388.7887045008483</v>
      </c>
      <c r="Q31"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7821.1583983229075</v>
      </c>
      <c r="R31" s="105">
        <f>IF(Operations[[#This Row],[Calc List Price]]=0,0,IF(Operations[[#This Row],[Units per Hour]]*Operations[[#This Row],[Annual Use]]=0,0,(Operations[[#This Row],[Calc Beg Yr. Value]]-Operations[[#This Row],[Calc End Yr. Value]])/(Operations[[#This Row],[Annual Use]])))</f>
        <v>0.56763030617794086</v>
      </c>
      <c r="S31" s="106">
        <f>IF(Operations[[#This Row],[Annual Use]]=0,0,Operations[[#This Row],[Calc Beg Yr. Value]]*'General Variables'!$B$9/Operations[[#This Row],[Annual Use]])</f>
        <v>0.16777577409001695</v>
      </c>
      <c r="T31" s="106">
        <f>IF(Operations[[#This Row],[Annual Use]]=0,0,Operations[[#This Row],[Calc Beg Yr. Value]]*'General Variables'!$B$10/Operations[[#This Row],[Annual Use]])</f>
        <v>0.33555154818003391</v>
      </c>
      <c r="U31" s="106">
        <f>SUM(Operations[[#This Row],[Depreciation per Unit]:[Opportunity Cost per Unit]])</f>
        <v>1.0709576284479918</v>
      </c>
      <c r="W31" s="3" t="s">
        <v>186</v>
      </c>
      <c r="X31" s="3" t="s">
        <v>129</v>
      </c>
      <c r="Y31" s="4" t="s">
        <v>130</v>
      </c>
      <c r="Z31" s="4" t="s">
        <v>131</v>
      </c>
      <c r="AA31" s="5">
        <v>2000</v>
      </c>
    </row>
    <row r="32" spans="1:39" ht="12.75" customHeight="1" x14ac:dyDescent="0.25">
      <c r="A32" s="125" t="s">
        <v>298</v>
      </c>
      <c r="B32" s="126" t="s">
        <v>64</v>
      </c>
      <c r="C32" s="127" t="s">
        <v>345</v>
      </c>
      <c r="D32" s="127" t="s">
        <v>357</v>
      </c>
      <c r="E32" s="128">
        <v>113735</v>
      </c>
      <c r="F32" s="129"/>
      <c r="G32" s="128">
        <v>5</v>
      </c>
      <c r="H32" s="128">
        <v>1000</v>
      </c>
      <c r="I32" s="133">
        <v>16</v>
      </c>
      <c r="J32" s="131">
        <v>1.1000000000000001</v>
      </c>
      <c r="K32" s="127" t="s">
        <v>468</v>
      </c>
      <c r="L32" s="129">
        <v>6.1859778597785988</v>
      </c>
      <c r="M32" s="132"/>
      <c r="N32"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113735</v>
      </c>
      <c r="O32"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0.54443369058334867</v>
      </c>
      <c r="P32"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44592.394994690781</v>
      </c>
      <c r="Q32"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41575.035073530373</v>
      </c>
      <c r="R32" s="105">
        <f>IF(Operations[[#This Row],[Calc List Price]]=0,0,IF(Operations[[#This Row],[Units per Hour]]*Operations[[#This Row],[Annual Use]]=0,0,(Operations[[#This Row],[Calc Beg Yr. Value]]-Operations[[#This Row],[Calc End Yr. Value]])/(Operations[[#This Row],[Annual Use]])))</f>
        <v>3.0173599211604087</v>
      </c>
      <c r="S32" s="106">
        <f>IF(Operations[[#This Row],[Annual Use]]=0,0,Operations[[#This Row],[Calc Beg Yr. Value]]*'General Variables'!$B$9/Operations[[#This Row],[Annual Use]])</f>
        <v>0.89184789989381563</v>
      </c>
      <c r="T32" s="106">
        <f>IF(Operations[[#This Row],[Annual Use]]=0,0,Operations[[#This Row],[Calc Beg Yr. Value]]*'General Variables'!$B$10/Operations[[#This Row],[Annual Use]])</f>
        <v>1.7836957997876313</v>
      </c>
      <c r="U32" s="106">
        <f>SUM(Operations[[#This Row],[Depreciation per Unit]:[Opportunity Cost per Unit]])</f>
        <v>5.6929036208418555</v>
      </c>
      <c r="W32" s="3" t="s">
        <v>187</v>
      </c>
      <c r="X32" s="3" t="s">
        <v>129</v>
      </c>
      <c r="Y32" s="4" t="s">
        <v>188</v>
      </c>
      <c r="Z32" s="4" t="s">
        <v>160</v>
      </c>
      <c r="AA32" s="6">
        <v>2500</v>
      </c>
    </row>
    <row r="33" spans="1:27" ht="12.75" customHeight="1" x14ac:dyDescent="0.25">
      <c r="A33" s="125" t="s">
        <v>299</v>
      </c>
      <c r="B33" s="126" t="s">
        <v>71</v>
      </c>
      <c r="C33" s="127" t="s">
        <v>346</v>
      </c>
      <c r="D33" s="127" t="s">
        <v>357</v>
      </c>
      <c r="E33" s="138">
        <v>110000</v>
      </c>
      <c r="F33" s="140"/>
      <c r="G33" s="128">
        <v>5</v>
      </c>
      <c r="H33" s="128">
        <v>1000</v>
      </c>
      <c r="I33" s="133">
        <v>6</v>
      </c>
      <c r="J33" s="131">
        <v>1.1000000000000001</v>
      </c>
      <c r="K33" s="127" t="s">
        <v>467</v>
      </c>
      <c r="L33" s="129">
        <v>6.1906976744186046</v>
      </c>
      <c r="M33" s="132"/>
      <c r="N33"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110000</v>
      </c>
      <c r="O33"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13.695388319300086</v>
      </c>
      <c r="P33"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43128.003248041372</v>
      </c>
      <c r="Q33"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40209.731903884829</v>
      </c>
      <c r="R33" s="105">
        <f>IF(Operations[[#This Row],[Calc List Price]]=0,0,IF(Operations[[#This Row],[Units per Hour]]*Operations[[#This Row],[Annual Use]]=0,0,(Operations[[#This Row],[Calc Beg Yr. Value]]-Operations[[#This Row],[Calc End Yr. Value]])/(Operations[[#This Row],[Annual Use]])))</f>
        <v>2.9182713441565431</v>
      </c>
      <c r="S33" s="106">
        <f>IF(Operations[[#This Row],[Annual Use]]=0,0,Operations[[#This Row],[Calc Beg Yr. Value]]*'General Variables'!$B$9/Operations[[#This Row],[Annual Use]])</f>
        <v>0.86256006496082749</v>
      </c>
      <c r="T33" s="106">
        <f>IF(Operations[[#This Row],[Annual Use]]=0,0,Operations[[#This Row],[Calc Beg Yr. Value]]*'General Variables'!$B$10/Operations[[#This Row],[Annual Use]])</f>
        <v>1.725120129921655</v>
      </c>
      <c r="U33" s="106">
        <f>SUM(Operations[[#This Row],[Depreciation per Unit]:[Opportunity Cost per Unit]])</f>
        <v>5.5059515390390255</v>
      </c>
      <c r="W33" s="3" t="s">
        <v>189</v>
      </c>
      <c r="X33" s="3" t="s">
        <v>129</v>
      </c>
      <c r="Y33" s="4" t="s">
        <v>133</v>
      </c>
      <c r="Z33" s="4" t="s">
        <v>134</v>
      </c>
      <c r="AA33" s="6">
        <v>1200</v>
      </c>
    </row>
    <row r="34" spans="1:27" ht="12.75" customHeight="1" x14ac:dyDescent="0.25">
      <c r="A34" s="125" t="s">
        <v>300</v>
      </c>
      <c r="B34" s="126" t="s">
        <v>64</v>
      </c>
      <c r="C34" s="127" t="s">
        <v>396</v>
      </c>
      <c r="D34" s="127" t="s">
        <v>329</v>
      </c>
      <c r="E34" s="128">
        <v>3971</v>
      </c>
      <c r="F34" s="129"/>
      <c r="G34" s="128">
        <v>5</v>
      </c>
      <c r="H34" s="128">
        <v>3000</v>
      </c>
      <c r="I34" s="133">
        <v>20</v>
      </c>
      <c r="J34" s="131">
        <v>1.1000000000000001</v>
      </c>
      <c r="K34" s="127" t="s">
        <v>468</v>
      </c>
      <c r="L34" s="129">
        <v>4</v>
      </c>
      <c r="M34" s="132"/>
      <c r="N34"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4"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4.5272912420475084E-2</v>
      </c>
      <c r="P34"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4"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4" s="105">
        <f>IF(Operations[[#This Row],[Calc List Price]]=0,0,IF(Operations[[#This Row],[Units per Hour]]*Operations[[#This Row],[Annual Use]]=0,0,(Operations[[#This Row],[Calc Beg Yr. Value]]-Operations[[#This Row],[Calc End Yr. Value]])/(Operations[[#This Row],[Annual Use]])))</f>
        <v>2.9707877197956881E-2</v>
      </c>
      <c r="S34" s="106">
        <f>IF(Operations[[#This Row],[Annual Use]]=0,0,Operations[[#This Row],[Calc Beg Yr. Value]]*'General Variables'!$B$9/Operations[[#This Row],[Annual Use]])</f>
        <v>9.1379905934655305E-3</v>
      </c>
      <c r="T34" s="106">
        <f>IF(Operations[[#This Row],[Annual Use]]=0,0,Operations[[#This Row],[Calc Beg Yr. Value]]*'General Variables'!$B$10/Operations[[#This Row],[Annual Use]])</f>
        <v>1.8275981186931061E-2</v>
      </c>
      <c r="U34" s="106">
        <f>SUM(Operations[[#This Row],[Depreciation per Unit]:[Opportunity Cost per Unit]])</f>
        <v>5.7121848978353471E-2</v>
      </c>
      <c r="W34" s="3" t="s">
        <v>190</v>
      </c>
      <c r="X34" s="3" t="s">
        <v>121</v>
      </c>
      <c r="Y34" s="4" t="s">
        <v>191</v>
      </c>
      <c r="Z34" s="4" t="s">
        <v>160</v>
      </c>
      <c r="AA34" s="6">
        <v>1500</v>
      </c>
    </row>
    <row r="35" spans="1:27" ht="12.75" customHeight="1" x14ac:dyDescent="0.25">
      <c r="A35" s="125" t="s">
        <v>301</v>
      </c>
      <c r="B35" s="126" t="s">
        <v>64</v>
      </c>
      <c r="C35" s="127"/>
      <c r="D35" s="127" t="s">
        <v>329</v>
      </c>
      <c r="E35" s="128">
        <v>3971</v>
      </c>
      <c r="F35" s="129"/>
      <c r="G35" s="128">
        <v>5</v>
      </c>
      <c r="H35" s="128">
        <v>3000</v>
      </c>
      <c r="I35" s="133">
        <v>20</v>
      </c>
      <c r="J35" s="131">
        <v>1.1000000000000001</v>
      </c>
      <c r="K35" s="127" t="s">
        <v>468</v>
      </c>
      <c r="L35" s="129">
        <v>4</v>
      </c>
      <c r="M35" s="132"/>
      <c r="N35"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5"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5"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5"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5" s="105">
        <f>IF(Operations[[#This Row],[Calc List Price]]=0,0,IF(Operations[[#This Row],[Units per Hour]]*Operations[[#This Row],[Annual Use]]=0,0,(Operations[[#This Row],[Calc Beg Yr. Value]]-Operations[[#This Row],[Calc End Yr. Value]])/(Operations[[#This Row],[Annual Use]])))</f>
        <v>2.9707877197956881E-2</v>
      </c>
      <c r="S35" s="106">
        <f>IF(Operations[[#This Row],[Annual Use]]=0,0,Operations[[#This Row],[Calc Beg Yr. Value]]*'General Variables'!$B$9/Operations[[#This Row],[Annual Use]])</f>
        <v>9.1379905934655305E-3</v>
      </c>
      <c r="T35" s="106">
        <f>IF(Operations[[#This Row],[Annual Use]]=0,0,Operations[[#This Row],[Calc Beg Yr. Value]]*'General Variables'!$B$10/Operations[[#This Row],[Annual Use]])</f>
        <v>1.8275981186931061E-2</v>
      </c>
      <c r="U35" s="106">
        <f>SUM(Operations[[#This Row],[Depreciation per Unit]:[Opportunity Cost per Unit]])</f>
        <v>5.7121848978353471E-2</v>
      </c>
      <c r="W35" s="3" t="s">
        <v>192</v>
      </c>
      <c r="X35" s="3" t="s">
        <v>129</v>
      </c>
      <c r="Y35" s="4" t="s">
        <v>180</v>
      </c>
      <c r="Z35" s="4" t="s">
        <v>160</v>
      </c>
      <c r="AA35" s="6">
        <v>3000</v>
      </c>
    </row>
    <row r="36" spans="1:27" ht="12.75" customHeight="1" x14ac:dyDescent="0.25">
      <c r="A36" s="125" t="s">
        <v>302</v>
      </c>
      <c r="B36" s="126" t="s">
        <v>71</v>
      </c>
      <c r="C36" s="127" t="s">
        <v>339</v>
      </c>
      <c r="D36" s="127" t="s">
        <v>356</v>
      </c>
      <c r="E36" s="134">
        <v>125418</v>
      </c>
      <c r="F36" s="129"/>
      <c r="G36" s="128">
        <v>5</v>
      </c>
      <c r="H36" s="128">
        <v>1000</v>
      </c>
      <c r="I36" s="133">
        <v>12</v>
      </c>
      <c r="J36" s="131">
        <v>1.1000000000000001</v>
      </c>
      <c r="K36" s="127" t="s">
        <v>468</v>
      </c>
      <c r="L36" s="129">
        <v>6.0699481865284985</v>
      </c>
      <c r="M36" s="132"/>
      <c r="N36"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36"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2.9779220778190973</v>
      </c>
      <c r="P36"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36"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36" s="105">
        <f>IF(Operations[[#This Row],[Calc List Price]]=0,0,IF(Operations[[#This Row],[Units per Hour]]*Operations[[#This Row],[Annual Use]]=0,0,(Operations[[#This Row],[Calc Beg Yr. Value]]-Operations[[#This Row],[Calc End Yr. Value]])/(Operations[[#This Row],[Annual Use]])))</f>
        <v>2.9240480936455571</v>
      </c>
      <c r="S36" s="106">
        <f>IF(Operations[[#This Row],[Annual Use]]=0,0,Operations[[#This Row],[Calc Beg Yr. Value]]*'General Variables'!$B$9/Operations[[#This Row],[Annual Use]])</f>
        <v>1.2594352856932451</v>
      </c>
      <c r="T36" s="106">
        <f>IF(Operations[[#This Row],[Annual Use]]=0,0,Operations[[#This Row],[Calc Beg Yr. Value]]*'General Variables'!$B$10/Operations[[#This Row],[Annual Use]])</f>
        <v>2.5188705713864903</v>
      </c>
      <c r="U36" s="106">
        <f>SUM(Operations[[#This Row],[Depreciation per Unit]:[Opportunity Cost per Unit]])</f>
        <v>6.7023539507252927</v>
      </c>
      <c r="W36" s="3" t="s">
        <v>193</v>
      </c>
      <c r="X36" s="3" t="s">
        <v>129</v>
      </c>
      <c r="Y36" s="4" t="s">
        <v>174</v>
      </c>
      <c r="Z36" s="4" t="s">
        <v>131</v>
      </c>
      <c r="AA36" s="5">
        <v>2000</v>
      </c>
    </row>
    <row r="37" spans="1:27" ht="12.75" customHeight="1" x14ac:dyDescent="0.25">
      <c r="A37" s="125" t="s">
        <v>303</v>
      </c>
      <c r="B37" s="126" t="s">
        <v>71</v>
      </c>
      <c r="C37" s="127" t="s">
        <v>347</v>
      </c>
      <c r="D37" s="127" t="s">
        <v>329</v>
      </c>
      <c r="E37" s="137">
        <v>32000</v>
      </c>
      <c r="F37" s="129"/>
      <c r="G37" s="128">
        <v>5</v>
      </c>
      <c r="H37" s="128">
        <v>1000</v>
      </c>
      <c r="I37" s="133">
        <v>10</v>
      </c>
      <c r="J37" s="131">
        <v>1.1000000000000001</v>
      </c>
      <c r="K37" s="127" t="s">
        <v>468</v>
      </c>
      <c r="L37" s="129">
        <v>6.0734042553191498</v>
      </c>
      <c r="M37" s="132"/>
      <c r="N37"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32000</v>
      </c>
      <c r="O37"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0.71511152638384856</v>
      </c>
      <c r="P37"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11045.669818341614</v>
      </c>
      <c r="Q37"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10327.473844782344</v>
      </c>
      <c r="R37" s="105">
        <f>IF(Operations[[#This Row],[Calc List Price]]=0,0,IF(Operations[[#This Row],[Units per Hour]]*Operations[[#This Row],[Annual Use]]=0,0,(Operations[[#This Row],[Calc Beg Yr. Value]]-Operations[[#This Row],[Calc End Yr. Value]])/(Operations[[#This Row],[Annual Use]])))</f>
        <v>0.71819597355927001</v>
      </c>
      <c r="S37" s="106">
        <f>IF(Operations[[#This Row],[Annual Use]]=0,0,Operations[[#This Row],[Calc Beg Yr. Value]]*'General Variables'!$B$9/Operations[[#This Row],[Annual Use]])</f>
        <v>0.22091339636683227</v>
      </c>
      <c r="T37" s="106">
        <f>IF(Operations[[#This Row],[Annual Use]]=0,0,Operations[[#This Row],[Calc Beg Yr. Value]]*'General Variables'!$B$10/Operations[[#This Row],[Annual Use]])</f>
        <v>0.44182679273366454</v>
      </c>
      <c r="U37" s="106">
        <f>SUM(Operations[[#This Row],[Depreciation per Unit]:[Opportunity Cost per Unit]])</f>
        <v>1.3809361626597667</v>
      </c>
      <c r="W37" s="112" t="s">
        <v>196</v>
      </c>
      <c r="X37" s="94" t="s">
        <v>197</v>
      </c>
      <c r="Y37" s="95">
        <v>0.02</v>
      </c>
      <c r="Z37" s="95">
        <v>1</v>
      </c>
      <c r="AA37" s="113"/>
    </row>
    <row r="38" spans="1:27" ht="12.75" customHeight="1" x14ac:dyDescent="0.25">
      <c r="A38" s="125" t="s">
        <v>304</v>
      </c>
      <c r="B38" s="126" t="s">
        <v>443</v>
      </c>
      <c r="C38" s="127" t="s">
        <v>196</v>
      </c>
      <c r="D38" s="127" t="s">
        <v>355</v>
      </c>
      <c r="E38" s="128"/>
      <c r="F38" s="140">
        <v>7500</v>
      </c>
      <c r="G38" s="128">
        <v>10</v>
      </c>
      <c r="H38" s="134">
        <v>2600</v>
      </c>
      <c r="I38" s="133">
        <v>2.25</v>
      </c>
      <c r="J38" s="139">
        <f>5/24</f>
        <v>0.20833333333333334</v>
      </c>
      <c r="K38" s="127" t="s">
        <v>398</v>
      </c>
      <c r="L38" s="141">
        <v>3.03</v>
      </c>
      <c r="M38" s="132"/>
      <c r="N38"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21401.127786861911</v>
      </c>
      <c r="O38"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0.19023224699432831</v>
      </c>
      <c r="P38"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38"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7072.1710320991388</v>
      </c>
      <c r="R38" s="105">
        <f>IF(Operations[[#This Row],[Calc List Price]]=0,0,IF(Operations[[#This Row],[Units per Hour]]*Operations[[#This Row],[Annual Use]]=0,0,(Operations[[#This Row],[Calc Beg Yr. Value]]-Operations[[#This Row],[Calc End Yr. Value]])/(Operations[[#This Row],[Annual Use]])))</f>
        <v>0.16454960303879279</v>
      </c>
      <c r="S38" s="106">
        <f>IF(Operations[[#This Row],[Annual Use]]=0,0,Operations[[#This Row],[Calc Beg Yr. Value]]*'General Variables'!$B$9/Operations[[#This Row],[Annual Use]])</f>
        <v>5.7692307692307696E-2</v>
      </c>
      <c r="T38" s="106">
        <f>IF(Operations[[#This Row],[Annual Use]]=0,0,Operations[[#This Row],[Calc Beg Yr. Value]]*'General Variables'!$B$10/Operations[[#This Row],[Annual Use]])</f>
        <v>0.11538461538461539</v>
      </c>
      <c r="U38" s="106">
        <f>SUM(Operations[[#This Row],[Depreciation per Unit]:[Opportunity Cost per Unit]])</f>
        <v>0.33762652611571586</v>
      </c>
      <c r="W38" s="114" t="s">
        <v>198</v>
      </c>
      <c r="X38" s="115" t="s">
        <v>197</v>
      </c>
      <c r="Y38" s="116">
        <v>0.03</v>
      </c>
      <c r="Z38" s="116">
        <v>1</v>
      </c>
      <c r="AA38" s="117"/>
    </row>
    <row r="39" spans="1:27" ht="12.75" customHeight="1" x14ac:dyDescent="0.25">
      <c r="A39" s="125" t="s">
        <v>305</v>
      </c>
      <c r="B39" s="126" t="s">
        <v>443</v>
      </c>
      <c r="C39" s="127" t="s">
        <v>202</v>
      </c>
      <c r="D39" s="127" t="s">
        <v>381</v>
      </c>
      <c r="E39" s="134">
        <v>65000</v>
      </c>
      <c r="F39" s="129"/>
      <c r="G39" s="128">
        <v>10</v>
      </c>
      <c r="H39" s="128">
        <f>130*20</f>
        <v>2600</v>
      </c>
      <c r="I39" s="133">
        <v>1.8</v>
      </c>
      <c r="J39" s="131">
        <f>1.5/24</f>
        <v>6.25E-2</v>
      </c>
      <c r="K39" s="127" t="s">
        <v>330</v>
      </c>
      <c r="L39" s="129">
        <v>3.34</v>
      </c>
      <c r="M39" s="132"/>
      <c r="N39"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39"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39"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39"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39" s="105">
        <f>IF(Operations[[#This Row],[Calc List Price]]=0,0,IF(Operations[[#This Row],[Units per Hour]]*Operations[[#This Row],[Annual Use]]=0,0,(Operations[[#This Row],[Calc Beg Yr. Value]]-Operations[[#This Row],[Calc End Yr. Value]])/(Operations[[#This Row],[Annual Use]])))</f>
        <v>0.45387811148149221</v>
      </c>
      <c r="S39" s="106">
        <f>IF(Operations[[#This Row],[Annual Use]]=0,0,Operations[[#This Row],[Calc Beg Yr. Value]]*'General Variables'!$B$9/Operations[[#This Row],[Annual Use]])</f>
        <v>0.14750566652689712</v>
      </c>
      <c r="T39" s="106">
        <f>IF(Operations[[#This Row],[Annual Use]]=0,0,Operations[[#This Row],[Calc Beg Yr. Value]]*'General Variables'!$B$10/Operations[[#This Row],[Annual Use]])</f>
        <v>0.29501133305379423</v>
      </c>
      <c r="U39" s="106">
        <f>SUM(Operations[[#This Row],[Depreciation per Unit]:[Opportunity Cost per Unit]])</f>
        <v>0.8963951110621835</v>
      </c>
      <c r="W39" s="112" t="s">
        <v>199</v>
      </c>
      <c r="X39" s="94" t="s">
        <v>197</v>
      </c>
      <c r="Y39" s="95">
        <v>0.02</v>
      </c>
      <c r="Z39" s="95">
        <v>1</v>
      </c>
      <c r="AA39" s="113"/>
    </row>
    <row r="40" spans="1:27" ht="12.75" customHeight="1" x14ac:dyDescent="0.25">
      <c r="A40" s="125" t="s">
        <v>545</v>
      </c>
      <c r="B40" s="126" t="s">
        <v>443</v>
      </c>
      <c r="C40" s="127" t="s">
        <v>202</v>
      </c>
      <c r="D40" s="127" t="s">
        <v>381</v>
      </c>
      <c r="E40" s="134">
        <v>70000</v>
      </c>
      <c r="F40" s="129"/>
      <c r="G40" s="128">
        <v>10</v>
      </c>
      <c r="H40" s="128">
        <f>130*20</f>
        <v>2600</v>
      </c>
      <c r="I40" s="133">
        <v>1.8</v>
      </c>
      <c r="J40" s="131">
        <f>2/24</f>
        <v>8.3333333333333329E-2</v>
      </c>
      <c r="K40" s="127" t="s">
        <v>330</v>
      </c>
      <c r="L40" s="129">
        <v>3.34</v>
      </c>
      <c r="M40" s="132"/>
      <c r="N40"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0"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0"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0"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0" s="105">
        <f>IF(Operations[[#This Row],[Calc List Price]]=0,0,IF(Operations[[#This Row],[Units per Hour]]*Operations[[#This Row],[Annual Use]]=0,0,(Operations[[#This Row],[Calc Beg Yr. Value]]-Operations[[#This Row],[Calc End Yr. Value]])/(Operations[[#This Row],[Annual Use]])))</f>
        <v>0.48879181236468305</v>
      </c>
      <c r="S40" s="106">
        <f>IF(Operations[[#This Row],[Annual Use]]=0,0,Operations[[#This Row],[Calc Beg Yr. Value]]*'General Variables'!$B$9/Operations[[#This Row],[Annual Use]])</f>
        <v>0.15885225625973537</v>
      </c>
      <c r="T40" s="106">
        <f>IF(Operations[[#This Row],[Annual Use]]=0,0,Operations[[#This Row],[Calc Beg Yr. Value]]*'General Variables'!$B$10/Operations[[#This Row],[Annual Use]])</f>
        <v>0.31770451251947074</v>
      </c>
      <c r="U40" s="106">
        <f>SUM(Operations[[#This Row],[Depreciation per Unit]:[Opportunity Cost per Unit]])</f>
        <v>0.96534858114388922</v>
      </c>
      <c r="W40" s="114" t="s">
        <v>200</v>
      </c>
      <c r="X40" s="115" t="s">
        <v>197</v>
      </c>
      <c r="Y40" s="116">
        <v>0.06</v>
      </c>
      <c r="Z40" s="116">
        <v>1</v>
      </c>
      <c r="AA40" s="117"/>
    </row>
    <row r="41" spans="1:27" ht="12.75" customHeight="1" x14ac:dyDescent="0.25">
      <c r="A41" s="125" t="s">
        <v>306</v>
      </c>
      <c r="B41" s="126" t="s">
        <v>443</v>
      </c>
      <c r="C41" s="127" t="s">
        <v>202</v>
      </c>
      <c r="D41" s="127" t="s">
        <v>381</v>
      </c>
      <c r="E41" s="134">
        <v>65000</v>
      </c>
      <c r="F41" s="129"/>
      <c r="G41" s="128">
        <v>10</v>
      </c>
      <c r="H41" s="128">
        <f>130*20</f>
        <v>2600</v>
      </c>
      <c r="I41" s="133">
        <v>1.8</v>
      </c>
      <c r="J41" s="131">
        <f>1.5/24</f>
        <v>6.25E-2</v>
      </c>
      <c r="K41" s="127" t="s">
        <v>332</v>
      </c>
      <c r="L41" s="129"/>
      <c r="M41" s="132">
        <v>47.78</v>
      </c>
      <c r="N41"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41"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41"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41"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41" s="105">
        <f>IF(Operations[[#This Row],[Calc List Price]]=0,0,IF(Operations[[#This Row],[Units per Hour]]*Operations[[#This Row],[Annual Use]]=0,0,(Operations[[#This Row],[Calc Beg Yr. Value]]-Operations[[#This Row],[Calc End Yr. Value]])/(Operations[[#This Row],[Annual Use]])))</f>
        <v>0.45387811148149221</v>
      </c>
      <c r="S41" s="106">
        <f>IF(Operations[[#This Row],[Annual Use]]=0,0,Operations[[#This Row],[Calc Beg Yr. Value]]*'General Variables'!$B$9/Operations[[#This Row],[Annual Use]])</f>
        <v>0.14750566652689712</v>
      </c>
      <c r="T41" s="106">
        <f>IF(Operations[[#This Row],[Annual Use]]=0,0,Operations[[#This Row],[Calc Beg Yr. Value]]*'General Variables'!$B$10/Operations[[#This Row],[Annual Use]])</f>
        <v>0.29501133305379423</v>
      </c>
      <c r="U41" s="106">
        <f>SUM(Operations[[#This Row],[Depreciation per Unit]:[Opportunity Cost per Unit]])</f>
        <v>0.8963951110621835</v>
      </c>
      <c r="W41" s="112" t="s">
        <v>201</v>
      </c>
      <c r="X41" s="94" t="s">
        <v>197</v>
      </c>
      <c r="Y41" s="95">
        <v>0.06</v>
      </c>
      <c r="Z41" s="95">
        <v>1</v>
      </c>
      <c r="AA41" s="113"/>
    </row>
    <row r="42" spans="1:27" ht="12.75" customHeight="1" x14ac:dyDescent="0.25">
      <c r="A42" s="125" t="s">
        <v>556</v>
      </c>
      <c r="B42" s="126" t="s">
        <v>443</v>
      </c>
      <c r="C42" s="127" t="s">
        <v>202</v>
      </c>
      <c r="D42" s="127" t="s">
        <v>381</v>
      </c>
      <c r="E42" s="134">
        <v>70000</v>
      </c>
      <c r="F42" s="129"/>
      <c r="G42" s="128">
        <v>10</v>
      </c>
      <c r="H42" s="128">
        <f>130*20</f>
        <v>2600</v>
      </c>
      <c r="I42" s="133">
        <v>1.8</v>
      </c>
      <c r="J42" s="131">
        <f>2/24</f>
        <v>8.3333333333333329E-2</v>
      </c>
      <c r="K42" s="127" t="s">
        <v>332</v>
      </c>
      <c r="L42" s="129"/>
      <c r="M42" s="132">
        <v>47.78</v>
      </c>
      <c r="N42"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2"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2"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2"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2" s="105">
        <f>IF(Operations[[#This Row],[Calc List Price]]=0,0,IF(Operations[[#This Row],[Units per Hour]]*Operations[[#This Row],[Annual Use]]=0,0,(Operations[[#This Row],[Calc Beg Yr. Value]]-Operations[[#This Row],[Calc End Yr. Value]])/(Operations[[#This Row],[Annual Use]])))</f>
        <v>0.48879181236468305</v>
      </c>
      <c r="S42" s="106">
        <f>IF(Operations[[#This Row],[Annual Use]]=0,0,Operations[[#This Row],[Calc Beg Yr. Value]]*'General Variables'!$B$9/Operations[[#This Row],[Annual Use]])</f>
        <v>0.15885225625973537</v>
      </c>
      <c r="T42" s="106">
        <f>IF(Operations[[#This Row],[Annual Use]]=0,0,Operations[[#This Row],[Calc Beg Yr. Value]]*'General Variables'!$B$10/Operations[[#This Row],[Annual Use]])</f>
        <v>0.31770451251947074</v>
      </c>
      <c r="U42" s="106">
        <f>SUM(Operations[[#This Row],[Depreciation per Unit]:[Opportunity Cost per Unit]])</f>
        <v>0.96534858114388922</v>
      </c>
      <c r="W42" s="114" t="s">
        <v>202</v>
      </c>
      <c r="X42" s="115" t="s">
        <v>197</v>
      </c>
      <c r="Y42" s="116">
        <v>4.1500000000000002E-2</v>
      </c>
      <c r="Z42" s="116">
        <v>1</v>
      </c>
      <c r="AA42" s="117"/>
    </row>
    <row r="43" spans="1:27" ht="12.75" customHeight="1" x14ac:dyDescent="0.25">
      <c r="A43" s="125" t="s">
        <v>307</v>
      </c>
      <c r="B43" s="126" t="s">
        <v>71</v>
      </c>
      <c r="C43" s="127" t="s">
        <v>348</v>
      </c>
      <c r="D43" s="127" t="s">
        <v>356</v>
      </c>
      <c r="E43" s="134">
        <v>71400</v>
      </c>
      <c r="F43" s="129"/>
      <c r="G43" s="128">
        <v>5</v>
      </c>
      <c r="H43" s="128">
        <v>1000</v>
      </c>
      <c r="I43" s="133">
        <v>10</v>
      </c>
      <c r="J43" s="131">
        <v>1.2</v>
      </c>
      <c r="K43" s="127" t="s">
        <v>468</v>
      </c>
      <c r="L43" s="129">
        <v>2.73</v>
      </c>
      <c r="M43" s="132"/>
      <c r="N43"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3"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3"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3"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3" s="105">
        <f>IF(Operations[[#This Row],[Calc List Price]]=0,0,IF(Operations[[#This Row],[Units per Hour]]*Operations[[#This Row],[Annual Use]]=0,0,(Operations[[#This Row],[Calc Beg Yr. Value]]-Operations[[#This Row],[Calc End Yr. Value]])/(Operations[[#This Row],[Annual Use]])))</f>
        <v>1.6646496825518915</v>
      </c>
      <c r="S43" s="106">
        <f>IF(Operations[[#This Row],[Annual Use]]=0,0,Operations[[#This Row],[Calc Beg Yr. Value]]*'General Variables'!$B$9/Operations[[#This Row],[Annual Use]])</f>
        <v>0.71699181456009264</v>
      </c>
      <c r="T43" s="106">
        <f>IF(Operations[[#This Row],[Annual Use]]=0,0,Operations[[#This Row],[Calc Beg Yr. Value]]*'General Variables'!$B$10/Operations[[#This Row],[Annual Use]])</f>
        <v>1.4339836291201853</v>
      </c>
      <c r="U43" s="106">
        <f>SUM(Operations[[#This Row],[Depreciation per Unit]:[Opportunity Cost per Unit]])</f>
        <v>3.8156251262321694</v>
      </c>
      <c r="W43" s="112" t="s">
        <v>203</v>
      </c>
      <c r="X43" s="94" t="s">
        <v>197</v>
      </c>
      <c r="Y43" s="95">
        <v>0.06</v>
      </c>
      <c r="Z43" s="95">
        <v>1</v>
      </c>
      <c r="AA43" s="113"/>
    </row>
    <row r="44" spans="1:27" ht="12.75" customHeight="1" x14ac:dyDescent="0.25">
      <c r="A44" s="125" t="s">
        <v>308</v>
      </c>
      <c r="B44" s="126" t="s">
        <v>71</v>
      </c>
      <c r="C44" s="127" t="s">
        <v>348</v>
      </c>
      <c r="D44" s="127" t="s">
        <v>356</v>
      </c>
      <c r="E44" s="128">
        <v>71400</v>
      </c>
      <c r="F44" s="129"/>
      <c r="G44" s="128">
        <v>5</v>
      </c>
      <c r="H44" s="128">
        <v>1000</v>
      </c>
      <c r="I44" s="133">
        <v>10</v>
      </c>
      <c r="J44" s="131">
        <v>1.2</v>
      </c>
      <c r="K44" s="127" t="s">
        <v>468</v>
      </c>
      <c r="L44" s="129">
        <v>2.580373831775701</v>
      </c>
      <c r="M44" s="132"/>
      <c r="N44"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4"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4"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4"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4" s="105">
        <f>IF(Operations[[#This Row],[Calc List Price]]=0,0,IF(Operations[[#This Row],[Units per Hour]]*Operations[[#This Row],[Annual Use]]=0,0,(Operations[[#This Row],[Calc Beg Yr. Value]]-Operations[[#This Row],[Calc End Yr. Value]])/(Operations[[#This Row],[Annual Use]])))</f>
        <v>1.6646496825518915</v>
      </c>
      <c r="S44" s="106">
        <f>IF(Operations[[#This Row],[Annual Use]]=0,0,Operations[[#This Row],[Calc Beg Yr. Value]]*'General Variables'!$B$9/Operations[[#This Row],[Annual Use]])</f>
        <v>0.71699181456009264</v>
      </c>
      <c r="T44" s="106">
        <f>IF(Operations[[#This Row],[Annual Use]]=0,0,Operations[[#This Row],[Calc Beg Yr. Value]]*'General Variables'!$B$10/Operations[[#This Row],[Annual Use]])</f>
        <v>1.4339836291201853</v>
      </c>
      <c r="U44" s="106">
        <f>SUM(Operations[[#This Row],[Depreciation per Unit]:[Opportunity Cost per Unit]])</f>
        <v>3.8156251262321694</v>
      </c>
      <c r="W44" s="114" t="s">
        <v>204</v>
      </c>
      <c r="X44" s="115" t="s">
        <v>197</v>
      </c>
      <c r="Y44" s="116">
        <v>0.06</v>
      </c>
      <c r="Z44" s="116">
        <v>1</v>
      </c>
      <c r="AA44" s="117"/>
    </row>
    <row r="45" spans="1:27" ht="12.75" customHeight="1" x14ac:dyDescent="0.25">
      <c r="A45" s="125" t="s">
        <v>309</v>
      </c>
      <c r="B45" s="126" t="s">
        <v>71</v>
      </c>
      <c r="C45" s="127" t="s">
        <v>348</v>
      </c>
      <c r="D45" s="127" t="s">
        <v>356</v>
      </c>
      <c r="E45" s="134">
        <v>125418</v>
      </c>
      <c r="F45" s="129"/>
      <c r="G45" s="128">
        <v>5</v>
      </c>
      <c r="H45" s="134">
        <v>1000</v>
      </c>
      <c r="I45" s="133">
        <v>10</v>
      </c>
      <c r="J45" s="131">
        <v>1.2</v>
      </c>
      <c r="K45" s="127" t="s">
        <v>468</v>
      </c>
      <c r="L45" s="129">
        <v>3.38</v>
      </c>
      <c r="M45" s="132"/>
      <c r="N45"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5"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4.3671081402222018</v>
      </c>
      <c r="P45"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45"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45" s="105">
        <f>IF(Operations[[#This Row],[Calc List Price]]=0,0,IF(Operations[[#This Row],[Units per Hour]]*Operations[[#This Row],[Annual Use]]=0,0,(Operations[[#This Row],[Calc Beg Yr. Value]]-Operations[[#This Row],[Calc End Yr. Value]])/(Operations[[#This Row],[Annual Use]])))</f>
        <v>2.9240480936455571</v>
      </c>
      <c r="S45" s="106">
        <f>IF(Operations[[#This Row],[Annual Use]]=0,0,Operations[[#This Row],[Calc Beg Yr. Value]]*'General Variables'!$B$9/Operations[[#This Row],[Annual Use]])</f>
        <v>1.2594352856932451</v>
      </c>
      <c r="T45" s="106">
        <f>IF(Operations[[#This Row],[Annual Use]]=0,0,Operations[[#This Row],[Calc Beg Yr. Value]]*'General Variables'!$B$10/Operations[[#This Row],[Annual Use]])</f>
        <v>2.5188705713864903</v>
      </c>
      <c r="U45" s="106">
        <f>SUM(Operations[[#This Row],[Depreciation per Unit]:[Opportunity Cost per Unit]])</f>
        <v>6.7023539507252927</v>
      </c>
      <c r="W45" s="112" t="s">
        <v>205</v>
      </c>
      <c r="X45" s="94" t="s">
        <v>197</v>
      </c>
      <c r="Y45" s="95">
        <v>0.06</v>
      </c>
      <c r="Z45" s="95">
        <v>1</v>
      </c>
      <c r="AA45" s="113"/>
    </row>
    <row r="46" spans="1:27" ht="12.75" customHeight="1" x14ac:dyDescent="0.25">
      <c r="A46" s="125" t="s">
        <v>548</v>
      </c>
      <c r="B46" s="126" t="s">
        <v>71</v>
      </c>
      <c r="C46" s="127" t="s">
        <v>550</v>
      </c>
      <c r="D46" s="127" t="s">
        <v>551</v>
      </c>
      <c r="E46" s="128">
        <v>14781</v>
      </c>
      <c r="F46" s="129"/>
      <c r="G46" s="128">
        <v>5</v>
      </c>
      <c r="H46" s="134">
        <v>1000</v>
      </c>
      <c r="I46" s="133">
        <v>7.5</v>
      </c>
      <c r="J46" s="131">
        <v>1.1000000000000001</v>
      </c>
      <c r="K46" s="127" t="s">
        <v>467</v>
      </c>
      <c r="L46" s="129">
        <v>6</v>
      </c>
      <c r="M46" s="132"/>
      <c r="N46"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14781</v>
      </c>
      <c r="O46"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0.80252462978311567</v>
      </c>
      <c r="P46"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5754.6386463091521</v>
      </c>
      <c r="Q46"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5555.6193278170276</v>
      </c>
      <c r="R46" s="105">
        <f>IF(Operations[[#This Row],[Calc List Price]]=0,0,IF(Operations[[#This Row],[Units per Hour]]*Operations[[#This Row],[Annual Use]]=0,0,(Operations[[#This Row],[Calc Beg Yr. Value]]-Operations[[#This Row],[Calc End Yr. Value]])/(Operations[[#This Row],[Annual Use]])))</f>
        <v>0.19901931849212451</v>
      </c>
      <c r="S46" s="106">
        <f>IF(Operations[[#This Row],[Annual Use]]=0,0,Operations[[#This Row],[Calc Beg Yr. Value]]*'General Variables'!$B$9/Operations[[#This Row],[Annual Use]])</f>
        <v>0.11509277292618304</v>
      </c>
      <c r="T46" s="106">
        <f>IF(Operations[[#This Row],[Annual Use]]=0,0,Operations[[#This Row],[Calc Beg Yr. Value]]*'General Variables'!$B$10/Operations[[#This Row],[Annual Use]])</f>
        <v>0.23018554585236609</v>
      </c>
      <c r="U46" s="106">
        <f>SUM(Operations[[#This Row],[Depreciation per Unit]:[Opportunity Cost per Unit]])</f>
        <v>0.5442976372706736</v>
      </c>
      <c r="W46" s="114" t="s">
        <v>206</v>
      </c>
      <c r="X46" s="115" t="s">
        <v>197</v>
      </c>
      <c r="Y46" s="116">
        <v>0.02</v>
      </c>
      <c r="Z46" s="116">
        <v>1</v>
      </c>
      <c r="AA46" s="117"/>
    </row>
    <row r="47" spans="1:27" ht="12.75" customHeight="1" x14ac:dyDescent="0.25">
      <c r="A47" s="125" t="s">
        <v>594</v>
      </c>
      <c r="B47" s="126" t="s">
        <v>71</v>
      </c>
      <c r="C47" s="127" t="s">
        <v>342</v>
      </c>
      <c r="D47" s="127" t="s">
        <v>354</v>
      </c>
      <c r="E47" s="128">
        <v>29000</v>
      </c>
      <c r="F47" s="129">
        <v>4500</v>
      </c>
      <c r="G47" s="128">
        <v>5</v>
      </c>
      <c r="H47" s="128">
        <v>1000</v>
      </c>
      <c r="I47" s="133">
        <v>12</v>
      </c>
      <c r="J47" s="131">
        <v>1.1000000000000001</v>
      </c>
      <c r="K47" s="127" t="s">
        <v>468</v>
      </c>
      <c r="L47" s="129">
        <v>5.332019704433498</v>
      </c>
      <c r="M47" s="132"/>
      <c r="N47"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7"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0.3545273271612645</v>
      </c>
      <c r="P47"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7"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7" s="105">
        <f>IF(Operations[[#This Row],[Calc List Price]]=0,0,IF(Operations[[#This Row],[Units per Hour]]*Operations[[#This Row],[Annual Use]]=0,0,(Operations[[#This Row],[Calc Beg Yr. Value]]-Operations[[#This Row],[Calc End Yr. Value]])/(Operations[[#This Row],[Annual Use]])))</f>
        <v>0.86231309849464011</v>
      </c>
      <c r="S47" s="106">
        <f>IF(Operations[[#This Row],[Annual Use]]=0,0,Operations[[#This Row],[Calc Beg Yr. Value]]*'General Variables'!$B$9/Operations[[#This Row],[Annual Use]])</f>
        <v>0.24131883392928485</v>
      </c>
      <c r="T47" s="106">
        <f>IF(Operations[[#This Row],[Annual Use]]=0,0,Operations[[#This Row],[Calc Beg Yr. Value]]*'General Variables'!$B$10/Operations[[#This Row],[Annual Use]])</f>
        <v>0.48263766785856971</v>
      </c>
      <c r="U47" s="106">
        <f>SUM(Operations[[#This Row],[Depreciation per Unit]:[Opportunity Cost per Unit]])</f>
        <v>1.5862696002824948</v>
      </c>
      <c r="W47" s="112" t="s">
        <v>207</v>
      </c>
      <c r="X47" s="94" t="s">
        <v>197</v>
      </c>
      <c r="Y47" s="95">
        <v>0.01</v>
      </c>
      <c r="Z47" s="95">
        <v>1</v>
      </c>
      <c r="AA47" s="113"/>
    </row>
    <row r="48" spans="1:27" ht="12.75" customHeight="1" x14ac:dyDescent="0.25">
      <c r="A48" s="125" t="s">
        <v>310</v>
      </c>
      <c r="B48" s="126" t="s">
        <v>71</v>
      </c>
      <c r="C48" s="127" t="s">
        <v>342</v>
      </c>
      <c r="D48" s="127" t="s">
        <v>354</v>
      </c>
      <c r="E48" s="137">
        <v>29000</v>
      </c>
      <c r="F48" s="129"/>
      <c r="G48" s="128">
        <v>5</v>
      </c>
      <c r="H48" s="128">
        <v>1500</v>
      </c>
      <c r="I48" s="135">
        <v>10</v>
      </c>
      <c r="J48" s="131">
        <v>1</v>
      </c>
      <c r="K48" s="127" t="s">
        <v>468</v>
      </c>
      <c r="L48" s="129">
        <v>5.332019704433498</v>
      </c>
      <c r="M48" s="132"/>
      <c r="N48"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8"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0.86130698377094239</v>
      </c>
      <c r="P48"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8"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8" s="105">
        <f>IF(Operations[[#This Row],[Calc List Price]]=0,0,IF(Operations[[#This Row],[Units per Hour]]*Operations[[#This Row],[Annual Use]]=0,0,(Operations[[#This Row],[Calc Beg Yr. Value]]-Operations[[#This Row],[Calc End Yr. Value]])/(Operations[[#This Row],[Annual Use]])))</f>
        <v>0.57487539899642681</v>
      </c>
      <c r="S48" s="106">
        <f>IF(Operations[[#This Row],[Annual Use]]=0,0,Operations[[#This Row],[Calc Beg Yr. Value]]*'General Variables'!$B$9/Operations[[#This Row],[Annual Use]])</f>
        <v>0.16087922261952325</v>
      </c>
      <c r="T48" s="106">
        <f>IF(Operations[[#This Row],[Annual Use]]=0,0,Operations[[#This Row],[Calc Beg Yr. Value]]*'General Variables'!$B$10/Operations[[#This Row],[Annual Use]])</f>
        <v>0.32175844523904651</v>
      </c>
      <c r="U48" s="106">
        <f>SUM(Operations[[#This Row],[Depreciation per Unit]:[Opportunity Cost per Unit]])</f>
        <v>1.0575130668549966</v>
      </c>
      <c r="W48" s="112" t="s">
        <v>208</v>
      </c>
      <c r="X48" s="94" t="s">
        <v>197</v>
      </c>
      <c r="Y48" s="95">
        <v>0.03</v>
      </c>
      <c r="Z48" s="95">
        <v>1</v>
      </c>
      <c r="AA48" s="113"/>
    </row>
    <row r="49" spans="1:21" ht="12.75" customHeight="1" x14ac:dyDescent="0.2">
      <c r="A49" s="125" t="s">
        <v>311</v>
      </c>
      <c r="B49" s="126" t="s">
        <v>71</v>
      </c>
      <c r="C49" s="127" t="s">
        <v>348</v>
      </c>
      <c r="D49" s="127" t="s">
        <v>354</v>
      </c>
      <c r="E49" s="137">
        <v>125418</v>
      </c>
      <c r="F49" s="129"/>
      <c r="G49" s="128">
        <v>5</v>
      </c>
      <c r="H49" s="128">
        <v>1500</v>
      </c>
      <c r="I49" s="133">
        <v>10</v>
      </c>
      <c r="J49" s="131">
        <v>1.2</v>
      </c>
      <c r="K49" s="127" t="s">
        <v>468</v>
      </c>
      <c r="L49" s="129">
        <v>3.4073170731707321</v>
      </c>
      <c r="M49" s="132"/>
      <c r="N49"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9"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6.821726935577658</v>
      </c>
      <c r="P49"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52182.285368522498</v>
      </c>
      <c r="Q49"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48452.989362074193</v>
      </c>
      <c r="R49" s="105">
        <f>IF(Operations[[#This Row],[Calc List Price]]=0,0,IF(Operations[[#This Row],[Units per Hour]]*Operations[[#This Row],[Annual Use]]=0,0,(Operations[[#This Row],[Calc Beg Yr. Value]]-Operations[[#This Row],[Calc End Yr. Value]])/(Operations[[#This Row],[Annual Use]])))</f>
        <v>2.4861973376322033</v>
      </c>
      <c r="S49" s="106">
        <f>IF(Operations[[#This Row],[Annual Use]]=0,0,Operations[[#This Row],[Calc Beg Yr. Value]]*'General Variables'!$B$9/Operations[[#This Row],[Annual Use]])</f>
        <v>0.69576380491363332</v>
      </c>
      <c r="T49" s="106">
        <f>IF(Operations[[#This Row],[Annual Use]]=0,0,Operations[[#This Row],[Calc Beg Yr. Value]]*'General Variables'!$B$10/Operations[[#This Row],[Annual Use]])</f>
        <v>1.3915276098272666</v>
      </c>
      <c r="U49" s="106">
        <f>SUM(Operations[[#This Row],[Depreciation per Unit]:[Opportunity Cost per Unit]])</f>
        <v>4.5734887523731036</v>
      </c>
    </row>
    <row r="50" spans="1:21" ht="12.75" customHeight="1" x14ac:dyDescent="0.2">
      <c r="A50" s="125" t="s">
        <v>567</v>
      </c>
      <c r="B50" s="126" t="s">
        <v>71</v>
      </c>
      <c r="C50" s="127" t="s">
        <v>348</v>
      </c>
      <c r="D50" s="127" t="s">
        <v>354</v>
      </c>
      <c r="E50" s="137">
        <v>128418</v>
      </c>
      <c r="F50" s="129"/>
      <c r="G50" s="128">
        <v>5</v>
      </c>
      <c r="H50" s="128">
        <v>1500</v>
      </c>
      <c r="I50" s="133">
        <v>10</v>
      </c>
      <c r="J50" s="131">
        <v>1.2</v>
      </c>
      <c r="K50" s="127" t="s">
        <v>468</v>
      </c>
      <c r="L50" s="129">
        <v>3.41</v>
      </c>
      <c r="M50" s="132"/>
      <c r="N50"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128418</v>
      </c>
      <c r="O50"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6.9849027222010527</v>
      </c>
      <c r="P50"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53430.486233673968</v>
      </c>
      <c r="Q50"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49611.985423933118</v>
      </c>
      <c r="R50" s="105">
        <f>IF(Operations[[#This Row],[Calc List Price]]=0,0,IF(Operations[[#This Row],[Units per Hour]]*Operations[[#This Row],[Annual Use]]=0,0,(Operations[[#This Row],[Calc Beg Yr. Value]]-Operations[[#This Row],[Calc End Yr. Value]])/(Operations[[#This Row],[Annual Use]])))</f>
        <v>2.5456672064939001</v>
      </c>
      <c r="S50" s="106">
        <f>IF(Operations[[#This Row],[Annual Use]]=0,0,Operations[[#This Row],[Calc Beg Yr. Value]]*'General Variables'!$B$9/Operations[[#This Row],[Annual Use]])</f>
        <v>0.71240648311565291</v>
      </c>
      <c r="T50" s="106">
        <f>IF(Operations[[#This Row],[Annual Use]]=0,0,Operations[[#This Row],[Calc Beg Yr. Value]]*'General Variables'!$B$10/Operations[[#This Row],[Annual Use]])</f>
        <v>1.4248129662313058</v>
      </c>
      <c r="U50" s="106">
        <f>SUM(Operations[[#This Row],[Depreciation per Unit]:[Opportunity Cost per Unit]])</f>
        <v>4.6828866558408588</v>
      </c>
    </row>
    <row r="51" spans="1:21" ht="12.75" customHeight="1" x14ac:dyDescent="0.2">
      <c r="A51" s="125" t="s">
        <v>312</v>
      </c>
      <c r="B51" s="126" t="s">
        <v>71</v>
      </c>
      <c r="C51" s="127" t="s">
        <v>349</v>
      </c>
      <c r="D51" s="127" t="s">
        <v>354</v>
      </c>
      <c r="E51" s="128"/>
      <c r="F51" s="129">
        <v>7500</v>
      </c>
      <c r="G51" s="128">
        <v>5</v>
      </c>
      <c r="H51" s="128">
        <v>1000</v>
      </c>
      <c r="I51" s="133">
        <v>13.200000000000001</v>
      </c>
      <c r="J51" s="131">
        <v>1</v>
      </c>
      <c r="K51" s="127" t="s">
        <v>468</v>
      </c>
      <c r="L51" s="129">
        <v>5.346000000000001</v>
      </c>
      <c r="M51" s="132"/>
      <c r="N51"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1"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1"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1"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1" s="105">
        <f>IF(Operations[[#This Row],[Calc List Price]]=0,0,IF(Operations[[#This Row],[Units per Hour]]*Operations[[#This Row],[Annual Use]]=0,0,(Operations[[#This Row],[Calc Beg Yr. Value]]-Operations[[#This Row],[Calc End Yr. Value]])/(Operations[[#This Row],[Annual Use]])))</f>
        <v>0.53600028919458231</v>
      </c>
      <c r="S51" s="106">
        <f>IF(Operations[[#This Row],[Annual Use]]=0,0,Operations[[#This Row],[Calc Beg Yr. Value]]*'General Variables'!$B$9/Operations[[#This Row],[Annual Use]])</f>
        <v>0.15</v>
      </c>
      <c r="T51" s="106">
        <f>IF(Operations[[#This Row],[Annual Use]]=0,0,Operations[[#This Row],[Calc Beg Yr. Value]]*'General Variables'!$B$10/Operations[[#This Row],[Annual Use]])</f>
        <v>0.3</v>
      </c>
      <c r="U51" s="106">
        <f>SUM(Operations[[#This Row],[Depreciation per Unit]:[Opportunity Cost per Unit]])</f>
        <v>0.98600028919458227</v>
      </c>
    </row>
    <row r="52" spans="1:21" ht="12.75" customHeight="1" x14ac:dyDescent="0.2">
      <c r="A52" s="125" t="s">
        <v>565</v>
      </c>
      <c r="B52" s="126" t="s">
        <v>71</v>
      </c>
      <c r="C52" s="127" t="s">
        <v>349</v>
      </c>
      <c r="D52" s="127" t="s">
        <v>354</v>
      </c>
      <c r="E52" s="128"/>
      <c r="F52" s="129">
        <v>7500</v>
      </c>
      <c r="G52" s="128">
        <v>5</v>
      </c>
      <c r="H52" s="128">
        <v>1000</v>
      </c>
      <c r="I52" s="133">
        <v>13.200000000000001</v>
      </c>
      <c r="J52" s="131">
        <v>1.2</v>
      </c>
      <c r="K52" s="127" t="s">
        <v>468</v>
      </c>
      <c r="L52" s="129">
        <v>5.346000000000001</v>
      </c>
      <c r="M52" s="132"/>
      <c r="N52"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2"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2"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2"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2" s="105">
        <f>IF(Operations[[#This Row],[Calc List Price]]=0,0,IF(Operations[[#This Row],[Units per Hour]]*Operations[[#This Row],[Annual Use]]=0,0,(Operations[[#This Row],[Calc Beg Yr. Value]]-Operations[[#This Row],[Calc End Yr. Value]])/(Operations[[#This Row],[Annual Use]])))</f>
        <v>0.53600028919458231</v>
      </c>
      <c r="S52" s="106">
        <f>IF(Operations[[#This Row],[Annual Use]]=0,0,Operations[[#This Row],[Calc Beg Yr. Value]]*'General Variables'!$B$9/Operations[[#This Row],[Annual Use]])</f>
        <v>0.15</v>
      </c>
      <c r="T52" s="106">
        <f>IF(Operations[[#This Row],[Annual Use]]=0,0,Operations[[#This Row],[Calc Beg Yr. Value]]*'General Variables'!$B$10/Operations[[#This Row],[Annual Use]])</f>
        <v>0.3</v>
      </c>
      <c r="U52" s="106">
        <f>SUM(Operations[[#This Row],[Depreciation per Unit]:[Opportunity Cost per Unit]])</f>
        <v>0.98600028919458227</v>
      </c>
    </row>
    <row r="53" spans="1:21" ht="12.75" customHeight="1" x14ac:dyDescent="0.2">
      <c r="A53" s="125" t="s">
        <v>313</v>
      </c>
      <c r="B53" s="126" t="s">
        <v>71</v>
      </c>
      <c r="C53" s="127" t="s">
        <v>340</v>
      </c>
      <c r="D53" s="127" t="s">
        <v>354</v>
      </c>
      <c r="E53" s="128"/>
      <c r="F53" s="129"/>
      <c r="G53" s="128">
        <v>5</v>
      </c>
      <c r="H53" s="128">
        <v>300</v>
      </c>
      <c r="I53" s="135">
        <v>9</v>
      </c>
      <c r="J53" s="131">
        <v>1</v>
      </c>
      <c r="K53" s="127" t="s">
        <v>468</v>
      </c>
      <c r="L53" s="129">
        <v>5.4586466165413539</v>
      </c>
      <c r="M53" s="132"/>
      <c r="N53"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53"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53"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53"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53" s="105">
        <f>IF(Operations[[#This Row],[Calc List Price]]=0,0,IF(Operations[[#This Row],[Units per Hour]]*Operations[[#This Row],[Annual Use]]=0,0,(Operations[[#This Row],[Calc Beg Yr. Value]]-Operations[[#This Row],[Calc End Yr. Value]])/(Operations[[#This Row],[Annual Use]])))</f>
        <v>0</v>
      </c>
      <c r="S53" s="106">
        <f>IF(Operations[[#This Row],[Annual Use]]=0,0,Operations[[#This Row],[Calc Beg Yr. Value]]*'General Variables'!$B$9/Operations[[#This Row],[Annual Use]])</f>
        <v>0</v>
      </c>
      <c r="T53" s="106">
        <f>IF(Operations[[#This Row],[Annual Use]]=0,0,Operations[[#This Row],[Calc Beg Yr. Value]]*'General Variables'!$B$10/Operations[[#This Row],[Annual Use]])</f>
        <v>0</v>
      </c>
      <c r="U53" s="106">
        <f>SUM(Operations[[#This Row],[Depreciation per Unit]:[Opportunity Cost per Unit]])</f>
        <v>0</v>
      </c>
    </row>
    <row r="54" spans="1:21" ht="12.75" customHeight="1" x14ac:dyDescent="0.2">
      <c r="A54" s="125" t="s">
        <v>549</v>
      </c>
      <c r="B54" s="126" t="s">
        <v>71</v>
      </c>
      <c r="C54" s="127" t="s">
        <v>340</v>
      </c>
      <c r="D54" s="127" t="s">
        <v>354</v>
      </c>
      <c r="E54" s="137">
        <v>56958</v>
      </c>
      <c r="F54" s="129"/>
      <c r="G54" s="128">
        <v>5</v>
      </c>
      <c r="H54" s="128">
        <v>1000</v>
      </c>
      <c r="I54" s="133">
        <v>10</v>
      </c>
      <c r="J54" s="131">
        <v>1</v>
      </c>
      <c r="K54" s="127" t="s">
        <v>468</v>
      </c>
      <c r="L54" s="129">
        <v>5</v>
      </c>
      <c r="M54" s="132"/>
      <c r="N54"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54"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0.98992203934522005</v>
      </c>
      <c r="P54"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54"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54" s="105">
        <f>IF(Operations[[#This Row],[Calc List Price]]=0,0,IF(Operations[[#This Row],[Units per Hour]]*Operations[[#This Row],[Annual Use]]=0,0,(Operations[[#This Row],[Calc Beg Yr. Value]]-Operations[[#This Row],[Calc End Yr. Value]])/(Operations[[#This Row],[Annual Use]])))</f>
        <v>1.6936423953123341</v>
      </c>
      <c r="S54" s="106">
        <f>IF(Operations[[#This Row],[Annual Use]]=0,0,Operations[[#This Row],[Calc Beg Yr. Value]]*'General Variables'!$B$9/Operations[[#This Row],[Annual Use]])</f>
        <v>0.47396683251531746</v>
      </c>
      <c r="T54" s="106">
        <f>IF(Operations[[#This Row],[Annual Use]]=0,0,Operations[[#This Row],[Calc Beg Yr. Value]]*'General Variables'!$B$10/Operations[[#This Row],[Annual Use]])</f>
        <v>0.94793366503063492</v>
      </c>
      <c r="U54" s="106">
        <f>SUM(Operations[[#This Row],[Depreciation per Unit]:[Opportunity Cost per Unit]])</f>
        <v>3.1155428928582865</v>
      </c>
    </row>
    <row r="55" spans="1:21" ht="12.75" customHeight="1" x14ac:dyDescent="0.2">
      <c r="A55" s="125" t="s">
        <v>314</v>
      </c>
      <c r="B55" s="126" t="s">
        <v>71</v>
      </c>
      <c r="C55" s="127" t="s">
        <v>342</v>
      </c>
      <c r="D55" s="127" t="s">
        <v>354</v>
      </c>
      <c r="E55" s="128">
        <v>29000</v>
      </c>
      <c r="F55" s="129"/>
      <c r="G55" s="128">
        <v>5</v>
      </c>
      <c r="H55" s="128">
        <v>1000</v>
      </c>
      <c r="I55" s="135">
        <v>11</v>
      </c>
      <c r="J55" s="131">
        <v>1.1000000000000001</v>
      </c>
      <c r="K55" s="127" t="s">
        <v>468</v>
      </c>
      <c r="L55" s="129">
        <v>3.5</v>
      </c>
      <c r="M55" s="132"/>
      <c r="N55"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55"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0.42932339046359652</v>
      </c>
      <c r="P55"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55"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55" s="105">
        <f>IF(Operations[[#This Row],[Calc List Price]]=0,0,IF(Operations[[#This Row],[Units per Hour]]*Operations[[#This Row],[Annual Use]]=0,0,(Operations[[#This Row],[Calc Beg Yr. Value]]-Operations[[#This Row],[Calc End Yr. Value]])/(Operations[[#This Row],[Annual Use]])))</f>
        <v>0.86231309849464011</v>
      </c>
      <c r="S55" s="106">
        <f>IF(Operations[[#This Row],[Annual Use]]=0,0,Operations[[#This Row],[Calc Beg Yr. Value]]*'General Variables'!$B$9/Operations[[#This Row],[Annual Use]])</f>
        <v>0.24131883392928485</v>
      </c>
      <c r="T55" s="106">
        <f>IF(Operations[[#This Row],[Annual Use]]=0,0,Operations[[#This Row],[Calc Beg Yr. Value]]*'General Variables'!$B$10/Operations[[#This Row],[Annual Use]])</f>
        <v>0.48263766785856971</v>
      </c>
      <c r="U55" s="106">
        <f>SUM(Operations[[#This Row],[Depreciation per Unit]:[Opportunity Cost per Unit]])</f>
        <v>1.5862696002824948</v>
      </c>
    </row>
    <row r="56" spans="1:21" ht="12.75" customHeight="1" x14ac:dyDescent="0.2">
      <c r="A56" s="125" t="s">
        <v>315</v>
      </c>
      <c r="B56" s="126" t="s">
        <v>71</v>
      </c>
      <c r="C56" s="126" t="s">
        <v>339</v>
      </c>
      <c r="D56" s="126" t="s">
        <v>356</v>
      </c>
      <c r="E56" s="137">
        <v>62545</v>
      </c>
      <c r="F56" s="129"/>
      <c r="G56" s="128">
        <v>5</v>
      </c>
      <c r="H56" s="128">
        <v>1000</v>
      </c>
      <c r="I56" s="133">
        <v>8</v>
      </c>
      <c r="J56" s="131">
        <v>1.2</v>
      </c>
      <c r="K56" s="127" t="s">
        <v>468</v>
      </c>
      <c r="L56" s="129">
        <v>4.2936802973977706</v>
      </c>
      <c r="M56" s="132"/>
      <c r="N56"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62545</v>
      </c>
      <c r="O56"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3.4796671202192933</v>
      </c>
      <c r="P56"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31403.538544580526</v>
      </c>
      <c r="Q56"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29945.338062854924</v>
      </c>
      <c r="R56" s="105">
        <f>IF(Operations[[#This Row],[Calc List Price]]=0,0,IF(Operations[[#This Row],[Units per Hour]]*Operations[[#This Row],[Annual Use]]=0,0,(Operations[[#This Row],[Calc Beg Yr. Value]]-Operations[[#This Row],[Calc End Yr. Value]])/(Operations[[#This Row],[Annual Use]])))</f>
        <v>1.458200481725602</v>
      </c>
      <c r="S56" s="106">
        <f>IF(Operations[[#This Row],[Annual Use]]=0,0,Operations[[#This Row],[Calc Beg Yr. Value]]*'General Variables'!$B$9/Operations[[#This Row],[Annual Use]])</f>
        <v>0.62807077089161056</v>
      </c>
      <c r="T56" s="106">
        <f>IF(Operations[[#This Row],[Annual Use]]=0,0,Operations[[#This Row],[Calc Beg Yr. Value]]*'General Variables'!$B$10/Operations[[#This Row],[Annual Use]])</f>
        <v>1.2561415417832211</v>
      </c>
      <c r="U56" s="106">
        <f>SUM(Operations[[#This Row],[Depreciation per Unit]:[Opportunity Cost per Unit]])</f>
        <v>3.3424127944004338</v>
      </c>
    </row>
    <row r="57" spans="1:21" ht="12.75" hidden="1" customHeight="1" x14ac:dyDescent="0.2">
      <c r="A57" s="125" t="s">
        <v>56</v>
      </c>
      <c r="B57" s="126" t="s">
        <v>71</v>
      </c>
      <c r="C57" s="127" t="s">
        <v>351</v>
      </c>
      <c r="D57" s="127" t="s">
        <v>355</v>
      </c>
      <c r="E57" s="128">
        <v>35000</v>
      </c>
      <c r="F57" s="129"/>
      <c r="G57" s="128">
        <v>5</v>
      </c>
      <c r="H57" s="128">
        <v>2500</v>
      </c>
      <c r="I57" s="135">
        <v>25</v>
      </c>
      <c r="J57" s="131">
        <v>1.25</v>
      </c>
      <c r="K57" s="127" t="s">
        <v>468</v>
      </c>
      <c r="L57" s="129">
        <v>2.64</v>
      </c>
      <c r="M57" s="132"/>
      <c r="N57"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57"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57"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57"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57" s="105">
        <f>IF(Operations[[#This Row],[Calc List Price]]=0,0,IF(Operations[[#This Row],[Units per Hour]]*Operations[[#This Row],[Annual Use]]=0,0,(Operations[[#This Row],[Calc Beg Yr. Value]]-Operations[[#This Row],[Calc End Yr. Value]])/(Operations[[#This Row],[Annual Use]])))</f>
        <v>0.45301190025022514</v>
      </c>
      <c r="S57" s="106">
        <f>IF(Operations[[#This Row],[Annual Use]]=0,0,Operations[[#This Row],[Calc Beg Yr. Value]]*'General Variables'!$B$9/Operations[[#This Row],[Annual Use]])</f>
        <v>0.13516779169105209</v>
      </c>
      <c r="T57" s="106">
        <f>IF(Operations[[#This Row],[Annual Use]]=0,0,Operations[[#This Row],[Calc Beg Yr. Value]]*'General Variables'!$B$10/Operations[[#This Row],[Annual Use]])</f>
        <v>0.27033558338210417</v>
      </c>
      <c r="U57" s="106">
        <f>SUM(Operations[[#This Row],[Depreciation per Unit]:[Opportunity Cost per Unit]])</f>
        <v>0.85851527532338134</v>
      </c>
    </row>
    <row r="58" spans="1:21" ht="12.75" hidden="1" customHeight="1" x14ac:dyDescent="0.2">
      <c r="A58" s="125" t="s">
        <v>553</v>
      </c>
      <c r="B58" s="126" t="s">
        <v>71</v>
      </c>
      <c r="C58" s="127" t="s">
        <v>337</v>
      </c>
      <c r="D58" s="127" t="s">
        <v>354</v>
      </c>
      <c r="E58" s="128">
        <v>41688</v>
      </c>
      <c r="F58" s="129"/>
      <c r="G58" s="128">
        <v>5</v>
      </c>
      <c r="H58" s="128">
        <v>2000</v>
      </c>
      <c r="I58" s="133">
        <v>11</v>
      </c>
      <c r="J58" s="131">
        <v>1.3</v>
      </c>
      <c r="K58" s="127" t="s">
        <v>468</v>
      </c>
      <c r="L58" s="129">
        <v>8.2899999999999991</v>
      </c>
      <c r="M58" s="132"/>
      <c r="N58"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41688</v>
      </c>
      <c r="O58"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1.1593485021284804</v>
      </c>
      <c r="P58"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17344.999222144874</v>
      </c>
      <c r="Q58"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16105.409275591614</v>
      </c>
      <c r="R58" s="105">
        <f>IF(Operations[[#This Row],[Calc List Price]]=0,0,IF(Operations[[#This Row],[Units per Hour]]*Operations[[#This Row],[Annual Use]]=0,0,(Operations[[#This Row],[Calc Beg Yr. Value]]-Operations[[#This Row],[Calc End Yr. Value]])/(Operations[[#This Row],[Annual Use]])))</f>
        <v>0.61979497327663013</v>
      </c>
      <c r="S58" s="106">
        <f>IF(Operations[[#This Row],[Annual Use]]=0,0,Operations[[#This Row],[Calc Beg Yr. Value]]*'General Variables'!$B$9/Operations[[#This Row],[Annual Use]])</f>
        <v>0.17344999222144875</v>
      </c>
      <c r="T58" s="106">
        <f>IF(Operations[[#This Row],[Annual Use]]=0,0,Operations[[#This Row],[Calc Beg Yr. Value]]*'General Variables'!$B$10/Operations[[#This Row],[Annual Use]])</f>
        <v>0.34689998444289749</v>
      </c>
      <c r="U58" s="106">
        <f>SUM(Operations[[#This Row],[Depreciation per Unit]:[Opportunity Cost per Unit]])</f>
        <v>1.1401449499409764</v>
      </c>
    </row>
    <row r="59" spans="1:21" ht="12.75" hidden="1" customHeight="1" x14ac:dyDescent="0.2">
      <c r="A59" s="125" t="s">
        <v>552</v>
      </c>
      <c r="B59" s="126" t="s">
        <v>71</v>
      </c>
      <c r="C59" s="127" t="s">
        <v>336</v>
      </c>
      <c r="D59" s="127" t="s">
        <v>354</v>
      </c>
      <c r="E59" s="128">
        <v>58958</v>
      </c>
      <c r="F59" s="129"/>
      <c r="G59" s="128">
        <v>5</v>
      </c>
      <c r="H59" s="134">
        <v>2000</v>
      </c>
      <c r="I59" s="133">
        <v>15</v>
      </c>
      <c r="J59" s="131">
        <v>1.3</v>
      </c>
      <c r="K59" s="127" t="s">
        <v>468</v>
      </c>
      <c r="L59" s="129">
        <v>8.1999999999999993</v>
      </c>
      <c r="M59" s="132"/>
      <c r="N59"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58958</v>
      </c>
      <c r="O59"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1.3119582478570408</v>
      </c>
      <c r="P59"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24530.475535866855</v>
      </c>
      <c r="Q59"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22777.363271692819</v>
      </c>
      <c r="R59" s="105">
        <f>IF(Operations[[#This Row],[Calc List Price]]=0,0,IF(Operations[[#This Row],[Units per Hour]]*Operations[[#This Row],[Annual Use]]=0,0,(Operations[[#This Row],[Calc Beg Yr. Value]]-Operations[[#This Row],[Calc End Yr. Value]])/(Operations[[#This Row],[Annual Use]])))</f>
        <v>0.87655613208701832</v>
      </c>
      <c r="S59" s="106">
        <f>IF(Operations[[#This Row],[Annual Use]]=0,0,Operations[[#This Row],[Calc Beg Yr. Value]]*'General Variables'!$B$9/Operations[[#This Row],[Annual Use]])</f>
        <v>0.24530475535866855</v>
      </c>
      <c r="T59" s="106">
        <f>IF(Operations[[#This Row],[Annual Use]]=0,0,Operations[[#This Row],[Calc Beg Yr. Value]]*'General Variables'!$B$10/Operations[[#This Row],[Annual Use]])</f>
        <v>0.49060951071733711</v>
      </c>
      <c r="U59" s="106">
        <f>SUM(Operations[[#This Row],[Depreciation per Unit]:[Opportunity Cost per Unit]])</f>
        <v>1.612470398163024</v>
      </c>
    </row>
    <row r="60" spans="1:21" ht="12.75" hidden="1" customHeight="1" x14ac:dyDescent="0.2">
      <c r="A60" s="125" t="s">
        <v>554</v>
      </c>
      <c r="B60" s="126" t="s">
        <v>71</v>
      </c>
      <c r="C60" s="127" t="s">
        <v>351</v>
      </c>
      <c r="D60" s="127" t="s">
        <v>355</v>
      </c>
      <c r="E60" s="128">
        <v>35000</v>
      </c>
      <c r="F60" s="129"/>
      <c r="G60" s="128">
        <v>5</v>
      </c>
      <c r="H60" s="128">
        <v>2500</v>
      </c>
      <c r="I60" s="135">
        <v>25</v>
      </c>
      <c r="J60" s="131">
        <v>1.25</v>
      </c>
      <c r="K60" s="127" t="s">
        <v>468</v>
      </c>
      <c r="L60" s="129">
        <v>2.64</v>
      </c>
      <c r="M60" s="132"/>
      <c r="N60"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0"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60"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0"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0" s="105">
        <f>IF(Operations[[#This Row],[Calc List Price]]=0,0,IF(Operations[[#This Row],[Units per Hour]]*Operations[[#This Row],[Annual Use]]=0,0,(Operations[[#This Row],[Calc Beg Yr. Value]]-Operations[[#This Row],[Calc End Yr. Value]])/(Operations[[#This Row],[Annual Use]])))</f>
        <v>0.45301190025022514</v>
      </c>
      <c r="S60" s="106">
        <f>IF(Operations[[#This Row],[Annual Use]]=0,0,Operations[[#This Row],[Calc Beg Yr. Value]]*'General Variables'!$B$9/Operations[[#This Row],[Annual Use]])</f>
        <v>0.13516779169105209</v>
      </c>
      <c r="T60" s="106">
        <f>IF(Operations[[#This Row],[Annual Use]]=0,0,Operations[[#This Row],[Calc Beg Yr. Value]]*'General Variables'!$B$10/Operations[[#This Row],[Annual Use]])</f>
        <v>0.27033558338210417</v>
      </c>
      <c r="U60" s="106">
        <f>SUM(Operations[[#This Row],[Depreciation per Unit]:[Opportunity Cost per Unit]])</f>
        <v>0.85851527532338134</v>
      </c>
    </row>
    <row r="61" spans="1:21" ht="12.75" hidden="1" customHeight="1" x14ac:dyDescent="0.2">
      <c r="A61" s="125" t="s">
        <v>566</v>
      </c>
      <c r="B61" s="126" t="s">
        <v>71</v>
      </c>
      <c r="C61" s="127" t="s">
        <v>352</v>
      </c>
      <c r="D61" s="127" t="s">
        <v>355</v>
      </c>
      <c r="E61" s="128">
        <v>35000</v>
      </c>
      <c r="F61" s="129"/>
      <c r="G61" s="128">
        <v>5</v>
      </c>
      <c r="H61" s="128">
        <v>1000</v>
      </c>
      <c r="I61" s="133">
        <v>25</v>
      </c>
      <c r="J61" s="131">
        <v>1.25</v>
      </c>
      <c r="K61" s="127" t="s">
        <v>468</v>
      </c>
      <c r="L61" s="129">
        <v>2.64</v>
      </c>
      <c r="M61" s="132"/>
      <c r="N61"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1"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1"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1"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1" s="105">
        <f>IF(Operations[[#This Row],[Calc List Price]]=0,0,IF(Operations[[#This Row],[Units per Hour]]*Operations[[#This Row],[Annual Use]]=0,0,(Operations[[#This Row],[Calc Beg Yr. Value]]-Operations[[#This Row],[Calc End Yr. Value]])/(Operations[[#This Row],[Annual Use]])))</f>
        <v>1.1325297506255629</v>
      </c>
      <c r="S61" s="106">
        <f>IF(Operations[[#This Row],[Annual Use]]=0,0,Operations[[#This Row],[Calc Beg Yr. Value]]*'General Variables'!$B$9/Operations[[#This Row],[Annual Use]])</f>
        <v>0.33791947922763022</v>
      </c>
      <c r="T61" s="106">
        <f>IF(Operations[[#This Row],[Annual Use]]=0,0,Operations[[#This Row],[Calc Beg Yr. Value]]*'General Variables'!$B$10/Operations[[#This Row],[Annual Use]])</f>
        <v>0.67583895845526043</v>
      </c>
      <c r="U61" s="106">
        <f>SUM(Operations[[#This Row],[Depreciation per Unit]:[Opportunity Cost per Unit]])</f>
        <v>2.1462881883084535</v>
      </c>
    </row>
    <row r="62" spans="1:21" ht="12.75" hidden="1" customHeight="1" x14ac:dyDescent="0.2">
      <c r="A62" s="125" t="s">
        <v>564</v>
      </c>
      <c r="B62" s="126" t="s">
        <v>71</v>
      </c>
      <c r="C62" s="127" t="s">
        <v>352</v>
      </c>
      <c r="D62" s="127" t="s">
        <v>355</v>
      </c>
      <c r="E62" s="128">
        <v>35000</v>
      </c>
      <c r="F62" s="129"/>
      <c r="G62" s="128">
        <v>5</v>
      </c>
      <c r="H62" s="128">
        <v>1000</v>
      </c>
      <c r="I62" s="133">
        <v>25</v>
      </c>
      <c r="J62" s="131">
        <v>1.25</v>
      </c>
      <c r="K62" s="127" t="s">
        <v>468</v>
      </c>
      <c r="L62" s="129">
        <v>2.64</v>
      </c>
      <c r="M62" s="132"/>
      <c r="N62"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2"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2"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2"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2" s="105">
        <f>IF(Operations[[#This Row],[Calc List Price]]=0,0,IF(Operations[[#This Row],[Units per Hour]]*Operations[[#This Row],[Annual Use]]=0,0,(Operations[[#This Row],[Calc Beg Yr. Value]]-Operations[[#This Row],[Calc End Yr. Value]])/(Operations[[#This Row],[Annual Use]])))</f>
        <v>1.1325297506255629</v>
      </c>
      <c r="S62" s="106">
        <f>IF(Operations[[#This Row],[Annual Use]]=0,0,Operations[[#This Row],[Calc Beg Yr. Value]]*'General Variables'!$B$9/Operations[[#This Row],[Annual Use]])</f>
        <v>0.33791947922763022</v>
      </c>
      <c r="T62" s="106">
        <f>IF(Operations[[#This Row],[Annual Use]]=0,0,Operations[[#This Row],[Calc Beg Yr. Value]]*'General Variables'!$B$10/Operations[[#This Row],[Annual Use]])</f>
        <v>0.67583895845526043</v>
      </c>
      <c r="U62" s="106">
        <f>SUM(Operations[[#This Row],[Depreciation per Unit]:[Opportunity Cost per Unit]])</f>
        <v>2.1462881883084535</v>
      </c>
    </row>
    <row r="63" spans="1:21" ht="12.75" hidden="1" customHeight="1" x14ac:dyDescent="0.2">
      <c r="A63" s="125" t="s">
        <v>317</v>
      </c>
      <c r="B63" s="126" t="s">
        <v>3</v>
      </c>
      <c r="C63" s="126"/>
      <c r="D63" s="126"/>
      <c r="E63" s="128"/>
      <c r="F63" s="129"/>
      <c r="G63" s="128"/>
      <c r="H63" s="128"/>
      <c r="I63" s="133"/>
      <c r="J63" s="131"/>
      <c r="K63" s="127"/>
      <c r="L63" s="129" t="s">
        <v>395</v>
      </c>
      <c r="M63" s="132"/>
      <c r="N63"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3"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3"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3"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3" s="105">
        <f>IF(Operations[[#This Row],[Calc List Price]]=0,0,IF(Operations[[#This Row],[Units per Hour]]*Operations[[#This Row],[Annual Use]]=0,0,(Operations[[#This Row],[Calc Beg Yr. Value]]-Operations[[#This Row],[Calc End Yr. Value]])/(Operations[[#This Row],[Annual Use]])))</f>
        <v>0</v>
      </c>
      <c r="S63" s="106">
        <f>IF(Operations[[#This Row],[Annual Use]]=0,0,Operations[[#This Row],[Calc Beg Yr. Value]]*'General Variables'!$B$9/Operations[[#This Row],[Annual Use]])</f>
        <v>0</v>
      </c>
      <c r="T63" s="106">
        <f>IF(Operations[[#This Row],[Annual Use]]=0,0,Operations[[#This Row],[Calc Beg Yr. Value]]*'General Variables'!$B$10/Operations[[#This Row],[Annual Use]])</f>
        <v>0</v>
      </c>
      <c r="U63" s="106">
        <f>SUM(Operations[[#This Row],[Depreciation per Unit]:[Opportunity Cost per Unit]])</f>
        <v>0</v>
      </c>
    </row>
    <row r="64" spans="1:21" ht="12.75" hidden="1" customHeight="1" x14ac:dyDescent="0.2">
      <c r="A64" s="125" t="s">
        <v>318</v>
      </c>
      <c r="B64" s="126" t="s">
        <v>71</v>
      </c>
      <c r="C64" s="126"/>
      <c r="D64" s="126"/>
      <c r="E64" s="128"/>
      <c r="F64" s="140"/>
      <c r="G64" s="128">
        <v>5</v>
      </c>
      <c r="H64" s="128">
        <v>1000</v>
      </c>
      <c r="I64" s="135">
        <v>12.7</v>
      </c>
      <c r="J64" s="131">
        <v>1</v>
      </c>
      <c r="K64" s="127" t="s">
        <v>468</v>
      </c>
      <c r="L64" s="129">
        <v>3.8617021276595755</v>
      </c>
      <c r="M64" s="132"/>
      <c r="N64"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4"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4"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4"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4" s="105">
        <f>IF(Operations[[#This Row],[Calc List Price]]=0,0,IF(Operations[[#This Row],[Units per Hour]]*Operations[[#This Row],[Annual Use]]=0,0,(Operations[[#This Row],[Calc Beg Yr. Value]]-Operations[[#This Row],[Calc End Yr. Value]])/(Operations[[#This Row],[Annual Use]])))</f>
        <v>0</v>
      </c>
      <c r="S64" s="106">
        <f>IF(Operations[[#This Row],[Annual Use]]=0,0,Operations[[#This Row],[Calc Beg Yr. Value]]*'General Variables'!$B$9/Operations[[#This Row],[Annual Use]])</f>
        <v>0</v>
      </c>
      <c r="T64" s="106">
        <f>IF(Operations[[#This Row],[Annual Use]]=0,0,Operations[[#This Row],[Calc Beg Yr. Value]]*'General Variables'!$B$10/Operations[[#This Row],[Annual Use]])</f>
        <v>0</v>
      </c>
      <c r="U64" s="106">
        <f>SUM(Operations[[#This Row],[Depreciation per Unit]:[Opportunity Cost per Unit]])</f>
        <v>0</v>
      </c>
    </row>
    <row r="65" spans="1:21" ht="12.75" customHeight="1" x14ac:dyDescent="0.2">
      <c r="A65" s="125" t="s">
        <v>316</v>
      </c>
      <c r="B65" s="126" t="s">
        <v>65</v>
      </c>
      <c r="C65" s="127" t="s">
        <v>350</v>
      </c>
      <c r="D65" s="127" t="s">
        <v>357</v>
      </c>
      <c r="E65" s="128">
        <v>23371</v>
      </c>
      <c r="F65" s="129"/>
      <c r="G65" s="128">
        <v>5</v>
      </c>
      <c r="H65" s="128">
        <v>1250</v>
      </c>
      <c r="I65" s="135">
        <v>4</v>
      </c>
      <c r="J65" s="131">
        <v>1.1000000000000001</v>
      </c>
      <c r="K65" s="127" t="s">
        <v>468</v>
      </c>
      <c r="L65" s="129">
        <v>3.5</v>
      </c>
      <c r="M65" s="132"/>
      <c r="N65"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23371</v>
      </c>
      <c r="O65"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3.7298553253380522</v>
      </c>
      <c r="P65"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9163.1323991815898</v>
      </c>
      <c r="Q65"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8543.1058575062943</v>
      </c>
      <c r="R65" s="105">
        <f>IF(Operations[[#This Row],[Calc List Price]]=0,0,IF(Operations[[#This Row],[Units per Hour]]*Operations[[#This Row],[Annual Use]]=0,0,(Operations[[#This Row],[Calc Beg Yr. Value]]-Operations[[#This Row],[Calc End Yr. Value]])/(Operations[[#This Row],[Annual Use]])))</f>
        <v>0.49602123334023634</v>
      </c>
      <c r="S65" s="106">
        <f>IF(Operations[[#This Row],[Annual Use]]=0,0,Operations[[#This Row],[Calc Beg Yr. Value]]*'General Variables'!$B$9/Operations[[#This Row],[Annual Use]])</f>
        <v>0.14661011838690544</v>
      </c>
      <c r="T65" s="106">
        <f>IF(Operations[[#This Row],[Annual Use]]=0,0,Operations[[#This Row],[Calc Beg Yr. Value]]*'General Variables'!$B$10/Operations[[#This Row],[Annual Use]])</f>
        <v>0.29322023677381087</v>
      </c>
      <c r="U65" s="106">
        <f>SUM(Operations[[#This Row],[Depreciation per Unit]:[Opportunity Cost per Unit]])</f>
        <v>0.93585158850095262</v>
      </c>
    </row>
    <row r="66" spans="1:21" ht="12.75" customHeight="1" x14ac:dyDescent="0.2">
      <c r="A66" s="125" t="s">
        <v>319</v>
      </c>
      <c r="B66" s="126" t="s">
        <v>64</v>
      </c>
      <c r="C66" s="127" t="s">
        <v>515</v>
      </c>
      <c r="D66" s="127" t="s">
        <v>329</v>
      </c>
      <c r="E66" s="128">
        <v>13000</v>
      </c>
      <c r="F66" s="129"/>
      <c r="G66" s="128">
        <v>5</v>
      </c>
      <c r="H66" s="128">
        <v>1250</v>
      </c>
      <c r="I66" s="135">
        <v>10</v>
      </c>
      <c r="J66" s="131">
        <v>1</v>
      </c>
      <c r="K66" s="127" t="s">
        <v>468</v>
      </c>
      <c r="L66" s="129">
        <v>2</v>
      </c>
      <c r="M66" s="132"/>
      <c r="N66"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13000</v>
      </c>
      <c r="O66"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0.28687733423438283</v>
      </c>
      <c r="P66"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4487.3033637012804</v>
      </c>
      <c r="Q66"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4195.5362494428273</v>
      </c>
      <c r="R66" s="105">
        <f>IF(Operations[[#This Row],[Calc List Price]]=0,0,IF(Operations[[#This Row],[Units per Hour]]*Operations[[#This Row],[Annual Use]]=0,0,(Operations[[#This Row],[Calc Beg Yr. Value]]-Operations[[#This Row],[Calc End Yr. Value]])/(Operations[[#This Row],[Annual Use]])))</f>
        <v>0.23341369140676252</v>
      </c>
      <c r="S66" s="106">
        <f>IF(Operations[[#This Row],[Annual Use]]=0,0,Operations[[#This Row],[Calc Beg Yr. Value]]*'General Variables'!$B$9/Operations[[#This Row],[Annual Use]])</f>
        <v>7.1796853819220491E-2</v>
      </c>
      <c r="T66" s="106">
        <f>IF(Operations[[#This Row],[Annual Use]]=0,0,Operations[[#This Row],[Calc Beg Yr. Value]]*'General Variables'!$B$10/Operations[[#This Row],[Annual Use]])</f>
        <v>0.14359370763844098</v>
      </c>
      <c r="U66" s="106">
        <f>SUM(Operations[[#This Row],[Depreciation per Unit]:[Opportunity Cost per Unit]])</f>
        <v>0.44880425286442399</v>
      </c>
    </row>
    <row r="67" spans="1:21" ht="12.75" customHeight="1" x14ac:dyDescent="0.2">
      <c r="A67" s="125" t="s">
        <v>320</v>
      </c>
      <c r="B67" s="126" t="s">
        <v>71</v>
      </c>
      <c r="C67" s="127" t="s">
        <v>333</v>
      </c>
      <c r="D67" s="127" t="s">
        <v>354</v>
      </c>
      <c r="E67" s="128">
        <v>12000</v>
      </c>
      <c r="F67" s="129"/>
      <c r="G67" s="128">
        <v>5</v>
      </c>
      <c r="H67" s="128">
        <v>500</v>
      </c>
      <c r="I67" s="133">
        <v>9</v>
      </c>
      <c r="J67" s="131">
        <v>1</v>
      </c>
      <c r="K67" s="127" t="s">
        <v>467</v>
      </c>
      <c r="L67" s="129">
        <v>8.25</v>
      </c>
      <c r="M67" s="132"/>
      <c r="N67"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12000</v>
      </c>
      <c r="O67"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0.3251749166083312</v>
      </c>
      <c r="P67"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4992.8034606058936</v>
      </c>
      <c r="Q67"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4635.9842474356974</v>
      </c>
      <c r="R67" s="105">
        <f>IF(Operations[[#This Row],[Calc List Price]]=0,0,IF(Operations[[#This Row],[Units per Hour]]*Operations[[#This Row],[Annual Use]]=0,0,(Operations[[#This Row],[Calc Beg Yr. Value]]-Operations[[#This Row],[Calc End Yr. Value]])/(Operations[[#This Row],[Annual Use]])))</f>
        <v>0.71363842634039243</v>
      </c>
      <c r="S67" s="106">
        <f>IF(Operations[[#This Row],[Annual Use]]=0,0,Operations[[#This Row],[Calc Beg Yr. Value]]*'General Variables'!$B$9/Operations[[#This Row],[Annual Use]])</f>
        <v>0.19971213842423574</v>
      </c>
      <c r="T67" s="106">
        <f>IF(Operations[[#This Row],[Annual Use]]=0,0,Operations[[#This Row],[Calc Beg Yr. Value]]*'General Variables'!$B$10/Operations[[#This Row],[Annual Use]])</f>
        <v>0.39942427684847148</v>
      </c>
      <c r="U67" s="106">
        <f>SUM(Operations[[#This Row],[Depreciation per Unit]:[Opportunity Cost per Unit]])</f>
        <v>1.3127748416130998</v>
      </c>
    </row>
    <row r="68" spans="1:21" ht="12.75" hidden="1" customHeight="1" x14ac:dyDescent="0.2">
      <c r="A68" s="125" t="s">
        <v>322</v>
      </c>
      <c r="B68" s="126" t="s">
        <v>71</v>
      </c>
      <c r="C68" s="127" t="s">
        <v>348</v>
      </c>
      <c r="D68" s="127" t="s">
        <v>356</v>
      </c>
      <c r="E68" s="138">
        <v>45000</v>
      </c>
      <c r="F68" s="129"/>
      <c r="G68" s="128">
        <v>5</v>
      </c>
      <c r="H68" s="128">
        <v>1000</v>
      </c>
      <c r="I68" s="133">
        <v>6</v>
      </c>
      <c r="J68" s="131">
        <v>1.1000000000000001</v>
      </c>
      <c r="K68" s="127" t="s">
        <v>467</v>
      </c>
      <c r="L68" s="129">
        <v>8.25</v>
      </c>
      <c r="M68" s="132"/>
      <c r="N68"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45000</v>
      </c>
      <c r="O68"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4.5806695543808731</v>
      </c>
      <c r="P68"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22594.279870591152</v>
      </c>
      <c r="Q68"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21545.130910999625</v>
      </c>
      <c r="R68" s="105">
        <f>IF(Operations[[#This Row],[Calc List Price]]=0,0,IF(Operations[[#This Row],[Units per Hour]]*Operations[[#This Row],[Annual Use]]=0,0,(Operations[[#This Row],[Calc Beg Yr. Value]]-Operations[[#This Row],[Calc End Yr. Value]])/(Operations[[#This Row],[Annual Use]])))</f>
        <v>1.0491489595915264</v>
      </c>
      <c r="S68" s="106">
        <f>IF(Operations[[#This Row],[Annual Use]]=0,0,Operations[[#This Row],[Calc Beg Yr. Value]]*'General Variables'!$B$9/Operations[[#This Row],[Annual Use]])</f>
        <v>0.45188559741182305</v>
      </c>
      <c r="T68" s="106">
        <f>IF(Operations[[#This Row],[Annual Use]]=0,0,Operations[[#This Row],[Calc Beg Yr. Value]]*'General Variables'!$B$10/Operations[[#This Row],[Annual Use]])</f>
        <v>0.9037711948236461</v>
      </c>
      <c r="U68" s="106">
        <f>SUM(Operations[[#This Row],[Depreciation per Unit]:[Opportunity Cost per Unit]])</f>
        <v>2.4048057518269954</v>
      </c>
    </row>
    <row r="69" spans="1:21" ht="12.75" hidden="1" customHeight="1" x14ac:dyDescent="0.2">
      <c r="A69" s="125" t="s">
        <v>323</v>
      </c>
      <c r="B69" s="126" t="s">
        <v>71</v>
      </c>
      <c r="C69" s="127" t="s">
        <v>353</v>
      </c>
      <c r="D69" s="127" t="s">
        <v>329</v>
      </c>
      <c r="E69" s="128">
        <v>50000</v>
      </c>
      <c r="F69" s="140"/>
      <c r="G69" s="128">
        <v>5</v>
      </c>
      <c r="H69" s="128">
        <v>1000</v>
      </c>
      <c r="I69" s="133">
        <v>5.7894736842105274</v>
      </c>
      <c r="J69" s="131">
        <v>1</v>
      </c>
      <c r="K69" s="127" t="s">
        <v>468</v>
      </c>
      <c r="L69" s="129">
        <v>3.5</v>
      </c>
      <c r="M69" s="132"/>
      <c r="N69"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69"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3.3156035000791926</v>
      </c>
      <c r="P69"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17258.859091158771</v>
      </c>
      <c r="Q69"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16136.677882472412</v>
      </c>
      <c r="R69" s="105">
        <f>IF(Operations[[#This Row],[Calc List Price]]=0,0,IF(Operations[[#This Row],[Units per Hour]]*Operations[[#This Row],[Annual Use]]=0,0,(Operations[[#This Row],[Calc Beg Yr. Value]]-Operations[[#This Row],[Calc End Yr. Value]])/(Operations[[#This Row],[Annual Use]])))</f>
        <v>1.1221812086863592</v>
      </c>
      <c r="S69" s="106">
        <f>IF(Operations[[#This Row],[Annual Use]]=0,0,Operations[[#This Row],[Calc Beg Yr. Value]]*'General Variables'!$B$9/Operations[[#This Row],[Annual Use]])</f>
        <v>0.34517718182317542</v>
      </c>
      <c r="T69" s="106">
        <f>IF(Operations[[#This Row],[Annual Use]]=0,0,Operations[[#This Row],[Calc Beg Yr. Value]]*'General Variables'!$B$10/Operations[[#This Row],[Annual Use]])</f>
        <v>0.69035436364635083</v>
      </c>
      <c r="U69" s="106">
        <f>SUM(Operations[[#This Row],[Depreciation per Unit]:[Opportunity Cost per Unit]])</f>
        <v>2.1577127541558854</v>
      </c>
    </row>
    <row r="70" spans="1:21" ht="12.75" hidden="1" customHeight="1" x14ac:dyDescent="0.2">
      <c r="A70" s="125" t="s">
        <v>324</v>
      </c>
      <c r="B70" s="126" t="s">
        <v>3</v>
      </c>
      <c r="C70" s="126"/>
      <c r="D70" s="126"/>
      <c r="E70" s="128"/>
      <c r="F70" s="129"/>
      <c r="G70" s="128">
        <v>5</v>
      </c>
      <c r="H70" s="128"/>
      <c r="I70" s="133" t="s">
        <v>395</v>
      </c>
      <c r="J70" s="131"/>
      <c r="K70" s="127" t="s">
        <v>467</v>
      </c>
      <c r="L70" s="129" t="s">
        <v>395</v>
      </c>
      <c r="M70" s="132"/>
      <c r="N70"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0"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0"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0"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0" s="105">
        <f>IF(Operations[[#This Row],[Calc List Price]]=0,0,IF(Operations[[#This Row],[Units per Hour]]*Operations[[#This Row],[Annual Use]]=0,0,(Operations[[#This Row],[Calc Beg Yr. Value]]-Operations[[#This Row],[Calc End Yr. Value]])/(Operations[[#This Row],[Annual Use]])))</f>
        <v>0</v>
      </c>
      <c r="S70" s="106">
        <f>IF(Operations[[#This Row],[Annual Use]]=0,0,Operations[[#This Row],[Calc Beg Yr. Value]]*'General Variables'!$B$9/Operations[[#This Row],[Annual Use]])</f>
        <v>0</v>
      </c>
      <c r="T70" s="106">
        <f>IF(Operations[[#This Row],[Annual Use]]=0,0,Operations[[#This Row],[Calc Beg Yr. Value]]*'General Variables'!$B$10/Operations[[#This Row],[Annual Use]])</f>
        <v>0</v>
      </c>
      <c r="U70" s="106">
        <f>SUM(Operations[[#This Row],[Depreciation per Unit]:[Opportunity Cost per Unit]])</f>
        <v>0</v>
      </c>
    </row>
    <row r="71" spans="1:21" ht="12.75" hidden="1" customHeight="1" x14ac:dyDescent="0.2">
      <c r="A71" s="125" t="s">
        <v>325</v>
      </c>
      <c r="B71" s="126" t="s">
        <v>71</v>
      </c>
      <c r="C71" s="127" t="s">
        <v>338</v>
      </c>
      <c r="D71" s="127" t="s">
        <v>329</v>
      </c>
      <c r="E71" s="128">
        <v>7187</v>
      </c>
      <c r="F71" s="129"/>
      <c r="G71" s="128">
        <v>5</v>
      </c>
      <c r="H71" s="128">
        <v>1000</v>
      </c>
      <c r="I71" s="135">
        <v>12</v>
      </c>
      <c r="J71" s="131">
        <v>1</v>
      </c>
      <c r="K71" s="127" t="s">
        <v>468</v>
      </c>
      <c r="L71" s="129">
        <v>2.0971962616822433</v>
      </c>
      <c r="M71" s="132"/>
      <c r="N71"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71"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0.1042970664850804</v>
      </c>
      <c r="P71"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2480.7884057631618</v>
      </c>
      <c r="Q71"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2319.4860788265842</v>
      </c>
      <c r="R71" s="105">
        <f>IF(Operations[[#This Row],[Calc List Price]]=0,0,IF(Operations[[#This Row],[Units per Hour]]*Operations[[#This Row],[Annual Use]]=0,0,(Operations[[#This Row],[Calc Beg Yr. Value]]-Operations[[#This Row],[Calc End Yr. Value]])/(Operations[[#This Row],[Annual Use]])))</f>
        <v>0.16130232693657762</v>
      </c>
      <c r="S71" s="106">
        <f>IF(Operations[[#This Row],[Annual Use]]=0,0,Operations[[#This Row],[Calc Beg Yr. Value]]*'General Variables'!$B$9/Operations[[#This Row],[Annual Use]])</f>
        <v>4.9615768115263234E-2</v>
      </c>
      <c r="T71" s="106">
        <f>IF(Operations[[#This Row],[Annual Use]]=0,0,Operations[[#This Row],[Calc Beg Yr. Value]]*'General Variables'!$B$10/Operations[[#This Row],[Annual Use]])</f>
        <v>9.9231536230526468E-2</v>
      </c>
      <c r="U71" s="106">
        <f>SUM(Operations[[#This Row],[Depreciation per Unit]:[Opportunity Cost per Unit]])</f>
        <v>0.31014963128236728</v>
      </c>
    </row>
    <row r="72" spans="1:21" ht="12.75" customHeight="1" x14ac:dyDescent="0.2">
      <c r="A72" s="125" t="s">
        <v>321</v>
      </c>
      <c r="B72" s="126" t="s">
        <v>71</v>
      </c>
      <c r="C72" s="127" t="s">
        <v>580</v>
      </c>
      <c r="D72" s="127" t="s">
        <v>329</v>
      </c>
      <c r="E72" s="128">
        <v>10000</v>
      </c>
      <c r="F72" s="129"/>
      <c r="G72" s="128">
        <v>5</v>
      </c>
      <c r="H72" s="128">
        <v>1000</v>
      </c>
      <c r="I72" s="135">
        <v>8</v>
      </c>
      <c r="J72" s="131">
        <v>1</v>
      </c>
      <c r="K72" s="127" t="s">
        <v>328</v>
      </c>
      <c r="L72" s="129">
        <v>5</v>
      </c>
      <c r="M72" s="132"/>
      <c r="N72"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2"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0.28742353743761345</v>
      </c>
      <c r="P72"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2"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2" s="105">
        <f>IF(Operations[[#This Row],[Calc List Price]]=0,0,IF(Operations[[#This Row],[Units per Hour]]*Operations[[#This Row],[Annual Use]]=0,0,(Operations[[#This Row],[Calc Beg Yr. Value]]-Operations[[#This Row],[Calc End Yr. Value]])/(Operations[[#This Row],[Annual Use]])))</f>
        <v>0.22443624173727175</v>
      </c>
      <c r="S72" s="106">
        <f>IF(Operations[[#This Row],[Annual Use]]=0,0,Operations[[#This Row],[Calc Beg Yr. Value]]*'General Variables'!$B$9/Operations[[#This Row],[Annual Use]])</f>
        <v>6.9035436364635078E-2</v>
      </c>
      <c r="T72" s="106">
        <f>IF(Operations[[#This Row],[Annual Use]]=0,0,Operations[[#This Row],[Calc Beg Yr. Value]]*'General Variables'!$B$10/Operations[[#This Row],[Annual Use]])</f>
        <v>0.13807087272927016</v>
      </c>
      <c r="U72" s="106">
        <f>SUM(Operations[[#This Row],[Depreciation per Unit]:[Opportunity Cost per Unit]])</f>
        <v>0.43154255083117699</v>
      </c>
    </row>
    <row r="73" spans="1:21" ht="12.75" customHeight="1" x14ac:dyDescent="0.2">
      <c r="A73" s="142" t="s">
        <v>326</v>
      </c>
      <c r="B73" s="143" t="s">
        <v>71</v>
      </c>
      <c r="C73" s="144" t="s">
        <v>580</v>
      </c>
      <c r="D73" s="144" t="s">
        <v>329</v>
      </c>
      <c r="E73" s="128">
        <v>10000</v>
      </c>
      <c r="F73" s="129"/>
      <c r="G73" s="128">
        <v>5</v>
      </c>
      <c r="H73" s="128">
        <v>500</v>
      </c>
      <c r="I73" s="133">
        <v>10</v>
      </c>
      <c r="J73" s="131">
        <v>1</v>
      </c>
      <c r="K73" s="144" t="s">
        <v>328</v>
      </c>
      <c r="L73" s="129">
        <v>5</v>
      </c>
      <c r="M73" s="132"/>
      <c r="N73"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3"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0.13269309133336402</v>
      </c>
      <c r="P73"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3"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3" s="105">
        <f>IF(Operations[[#This Row],[Calc List Price]]=0,0,IF(Operations[[#This Row],[Units per Hour]]*Operations[[#This Row],[Annual Use]]=0,0,(Operations[[#This Row],[Calc Beg Yr. Value]]-Operations[[#This Row],[Calc End Yr. Value]])/(Operations[[#This Row],[Annual Use]])))</f>
        <v>0.4488724834745435</v>
      </c>
      <c r="S73" s="106">
        <f>IF(Operations[[#This Row],[Annual Use]]=0,0,Operations[[#This Row],[Calc Beg Yr. Value]]*'General Variables'!$B$9/Operations[[#This Row],[Annual Use]])</f>
        <v>0.13807087272927016</v>
      </c>
      <c r="T73" s="106">
        <f>IF(Operations[[#This Row],[Annual Use]]=0,0,Operations[[#This Row],[Calc Beg Yr. Value]]*'General Variables'!$B$10/Operations[[#This Row],[Annual Use]])</f>
        <v>0.27614174545854031</v>
      </c>
      <c r="U73" s="106">
        <f>SUM(Operations[[#This Row],[Depreciation per Unit]:[Opportunity Cost per Unit]])</f>
        <v>0.86308510166235397</v>
      </c>
    </row>
    <row r="74" spans="1:21" ht="12.75" customHeight="1" x14ac:dyDescent="0.2">
      <c r="A74" s="142"/>
      <c r="B74" s="143"/>
      <c r="C74" s="144"/>
      <c r="D74" s="144"/>
      <c r="E74" s="128"/>
      <c r="F74" s="129"/>
      <c r="G74" s="128"/>
      <c r="H74" s="128"/>
      <c r="I74" s="130"/>
      <c r="J74" s="131"/>
      <c r="K74" s="144"/>
      <c r="L74" s="129"/>
      <c r="M74" s="132"/>
      <c r="N74"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4"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4"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4"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4" s="105">
        <f>IF(Operations[[#This Row],[Calc List Price]]=0,0,IF(Operations[[#This Row],[Units per Hour]]*Operations[[#This Row],[Annual Use]]=0,0,(Operations[[#This Row],[Calc Beg Yr. Value]]-Operations[[#This Row],[Calc End Yr. Value]])/(Operations[[#This Row],[Annual Use]])))</f>
        <v>0</v>
      </c>
      <c r="S74" s="106">
        <f>IF(Operations[[#This Row],[Annual Use]]=0,0,Operations[[#This Row],[Calc Beg Yr. Value]]*'General Variables'!$B$9/Operations[[#This Row],[Annual Use]])</f>
        <v>0</v>
      </c>
      <c r="T74" s="106">
        <f>IF(Operations[[#This Row],[Annual Use]]=0,0,Operations[[#This Row],[Calc Beg Yr. Value]]*'General Variables'!$B$10/Operations[[#This Row],[Annual Use]])</f>
        <v>0</v>
      </c>
      <c r="U74" s="106">
        <f>SUM(Operations[[#This Row],[Depreciation per Unit]:[Opportunity Cost per Unit]])</f>
        <v>0</v>
      </c>
    </row>
    <row r="75" spans="1:21" ht="12.75" customHeight="1" x14ac:dyDescent="0.2">
      <c r="A75" s="142"/>
      <c r="B75" s="143"/>
      <c r="C75" s="144"/>
      <c r="D75" s="144"/>
      <c r="E75" s="128"/>
      <c r="F75" s="129"/>
      <c r="G75" s="128"/>
      <c r="H75" s="128"/>
      <c r="I75" s="130"/>
      <c r="J75" s="131"/>
      <c r="K75" s="144"/>
      <c r="L75" s="129"/>
      <c r="M75" s="132"/>
      <c r="N75"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5"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5"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5"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5" s="105">
        <f>IF(Operations[[#This Row],[Calc List Price]]=0,0,IF(Operations[[#This Row],[Units per Hour]]*Operations[[#This Row],[Annual Use]]=0,0,(Operations[[#This Row],[Calc Beg Yr. Value]]-Operations[[#This Row],[Calc End Yr. Value]])/(Operations[[#This Row],[Annual Use]])))</f>
        <v>0</v>
      </c>
      <c r="S75" s="106">
        <f>IF(Operations[[#This Row],[Annual Use]]=0,0,Operations[[#This Row],[Calc Beg Yr. Value]]*'General Variables'!$B$9/Operations[[#This Row],[Annual Use]])</f>
        <v>0</v>
      </c>
      <c r="T75" s="106">
        <f>IF(Operations[[#This Row],[Annual Use]]=0,0,Operations[[#This Row],[Calc Beg Yr. Value]]*'General Variables'!$B$10/Operations[[#This Row],[Annual Use]])</f>
        <v>0</v>
      </c>
      <c r="U75" s="106">
        <f>SUM(Operations[[#This Row],[Depreciation per Unit]:[Opportunity Cost per Unit]])</f>
        <v>0</v>
      </c>
    </row>
    <row r="76" spans="1:21" ht="12.75" customHeight="1" x14ac:dyDescent="0.2">
      <c r="A76" s="142"/>
      <c r="B76" s="143"/>
      <c r="C76" s="144"/>
      <c r="D76" s="144"/>
      <c r="E76" s="128"/>
      <c r="F76" s="129"/>
      <c r="G76" s="128"/>
      <c r="H76" s="128"/>
      <c r="I76" s="130"/>
      <c r="J76" s="131"/>
      <c r="K76" s="144"/>
      <c r="L76" s="129"/>
      <c r="M76" s="132"/>
      <c r="N76"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6"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6"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6"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6" s="105">
        <f>IF(Operations[[#This Row],[Calc List Price]]=0,0,IF(Operations[[#This Row],[Units per Hour]]*Operations[[#This Row],[Annual Use]]=0,0,(Operations[[#This Row],[Calc Beg Yr. Value]]-Operations[[#This Row],[Calc End Yr. Value]])/(Operations[[#This Row],[Annual Use]])))</f>
        <v>0</v>
      </c>
      <c r="S76" s="106">
        <f>IF(Operations[[#This Row],[Annual Use]]=0,0,Operations[[#This Row],[Calc Beg Yr. Value]]*'General Variables'!$B$9/Operations[[#This Row],[Annual Use]])</f>
        <v>0</v>
      </c>
      <c r="T76" s="106">
        <f>IF(Operations[[#This Row],[Annual Use]]=0,0,Operations[[#This Row],[Calc Beg Yr. Value]]*'General Variables'!$B$10/Operations[[#This Row],[Annual Use]])</f>
        <v>0</v>
      </c>
      <c r="U76" s="106">
        <f>SUM(Operations[[#This Row],[Depreciation per Unit]:[Opportunity Cost per Unit]])</f>
        <v>0</v>
      </c>
    </row>
    <row r="77" spans="1:21" ht="12.75" customHeight="1" x14ac:dyDescent="0.2">
      <c r="A77" s="142"/>
      <c r="B77" s="143"/>
      <c r="C77" s="144"/>
      <c r="D77" s="144"/>
      <c r="E77" s="128"/>
      <c r="F77" s="129"/>
      <c r="G77" s="128"/>
      <c r="H77" s="128"/>
      <c r="I77" s="130"/>
      <c r="J77" s="131"/>
      <c r="K77" s="144"/>
      <c r="L77" s="129"/>
      <c r="M77" s="132"/>
      <c r="N77"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7"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7"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7"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7" s="105">
        <f>IF(Operations[[#This Row],[Calc List Price]]=0,0,IF(Operations[[#This Row],[Units per Hour]]*Operations[[#This Row],[Annual Use]]=0,0,(Operations[[#This Row],[Calc Beg Yr. Value]]-Operations[[#This Row],[Calc End Yr. Value]])/(Operations[[#This Row],[Annual Use]])))</f>
        <v>0</v>
      </c>
      <c r="S77" s="106">
        <f>IF(Operations[[#This Row],[Annual Use]]=0,0,Operations[[#This Row],[Calc Beg Yr. Value]]*'General Variables'!$B$9/Operations[[#This Row],[Annual Use]])</f>
        <v>0</v>
      </c>
      <c r="T77" s="106">
        <f>IF(Operations[[#This Row],[Annual Use]]=0,0,Operations[[#This Row],[Calc Beg Yr. Value]]*'General Variables'!$B$10/Operations[[#This Row],[Annual Use]])</f>
        <v>0</v>
      </c>
      <c r="U77" s="106">
        <f>SUM(Operations[[#This Row],[Depreciation per Unit]:[Opportunity Cost per Unit]])</f>
        <v>0</v>
      </c>
    </row>
    <row r="78" spans="1:21" ht="12.75" customHeight="1" x14ac:dyDescent="0.2">
      <c r="A78" s="142"/>
      <c r="B78" s="143"/>
      <c r="C78" s="144"/>
      <c r="D78" s="144"/>
      <c r="E78" s="128"/>
      <c r="F78" s="129"/>
      <c r="G78" s="128"/>
      <c r="H78" s="128"/>
      <c r="I78" s="130"/>
      <c r="J78" s="131"/>
      <c r="K78" s="144"/>
      <c r="L78" s="129"/>
      <c r="M78" s="132"/>
      <c r="N78"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8"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8"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8"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8" s="105">
        <f>IF(Operations[[#This Row],[Calc List Price]]=0,0,IF(Operations[[#This Row],[Units per Hour]]*Operations[[#This Row],[Annual Use]]=0,0,(Operations[[#This Row],[Calc Beg Yr. Value]]-Operations[[#This Row],[Calc End Yr. Value]])/(Operations[[#This Row],[Annual Use]])))</f>
        <v>0</v>
      </c>
      <c r="S78" s="106">
        <f>IF(Operations[[#This Row],[Annual Use]]=0,0,Operations[[#This Row],[Calc Beg Yr. Value]]*'General Variables'!$B$9/Operations[[#This Row],[Annual Use]])</f>
        <v>0</v>
      </c>
      <c r="T78" s="106">
        <f>IF(Operations[[#This Row],[Annual Use]]=0,0,Operations[[#This Row],[Calc Beg Yr. Value]]*'General Variables'!$B$10/Operations[[#This Row],[Annual Use]])</f>
        <v>0</v>
      </c>
      <c r="U78" s="106">
        <f>SUM(Operations[[#This Row],[Depreciation per Unit]:[Opportunity Cost per Unit]])</f>
        <v>0</v>
      </c>
    </row>
    <row r="79" spans="1:21" ht="12.75" customHeight="1" x14ac:dyDescent="0.2">
      <c r="A79" s="142"/>
      <c r="B79" s="143"/>
      <c r="C79" s="144"/>
      <c r="D79" s="144"/>
      <c r="E79" s="128"/>
      <c r="F79" s="129"/>
      <c r="G79" s="128"/>
      <c r="H79" s="128"/>
      <c r="I79" s="130"/>
      <c r="J79" s="131"/>
      <c r="K79" s="144"/>
      <c r="L79" s="129"/>
      <c r="M79" s="132"/>
      <c r="N79"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9"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9"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9"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9" s="105">
        <f>IF(Operations[[#This Row],[Calc List Price]]=0,0,IF(Operations[[#This Row],[Units per Hour]]*Operations[[#This Row],[Annual Use]]=0,0,(Operations[[#This Row],[Calc Beg Yr. Value]]-Operations[[#This Row],[Calc End Yr. Value]])/(Operations[[#This Row],[Annual Use]])))</f>
        <v>0</v>
      </c>
      <c r="S79" s="106">
        <f>IF(Operations[[#This Row],[Annual Use]]=0,0,Operations[[#This Row],[Calc Beg Yr. Value]]*'General Variables'!$B$9/Operations[[#This Row],[Annual Use]])</f>
        <v>0</v>
      </c>
      <c r="T79" s="106">
        <f>IF(Operations[[#This Row],[Annual Use]]=0,0,Operations[[#This Row],[Calc Beg Yr. Value]]*'General Variables'!$B$10/Operations[[#This Row],[Annual Use]])</f>
        <v>0</v>
      </c>
      <c r="U79" s="106">
        <f>SUM(Operations[[#This Row],[Depreciation per Unit]:[Opportunity Cost per Unit]])</f>
        <v>0</v>
      </c>
    </row>
    <row r="80" spans="1:21" ht="12.75" customHeight="1" x14ac:dyDescent="0.2">
      <c r="A80" s="142"/>
      <c r="B80" s="143"/>
      <c r="C80" s="144"/>
      <c r="D80" s="144"/>
      <c r="E80" s="128"/>
      <c r="F80" s="129"/>
      <c r="G80" s="128"/>
      <c r="H80" s="128"/>
      <c r="I80" s="130"/>
      <c r="J80" s="131"/>
      <c r="K80" s="144"/>
      <c r="L80" s="129"/>
      <c r="M80" s="132"/>
      <c r="N80"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0"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0"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0"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0" s="105">
        <f>IF(Operations[[#This Row],[Calc List Price]]=0,0,IF(Operations[[#This Row],[Units per Hour]]*Operations[[#This Row],[Annual Use]]=0,0,(Operations[[#This Row],[Calc Beg Yr. Value]]-Operations[[#This Row],[Calc End Yr. Value]])/(Operations[[#This Row],[Annual Use]])))</f>
        <v>0</v>
      </c>
      <c r="S80" s="106">
        <f>IF(Operations[[#This Row],[Annual Use]]=0,0,Operations[[#This Row],[Calc Beg Yr. Value]]*'General Variables'!$B$9/Operations[[#This Row],[Annual Use]])</f>
        <v>0</v>
      </c>
      <c r="T80" s="106">
        <f>IF(Operations[[#This Row],[Annual Use]]=0,0,Operations[[#This Row],[Calc Beg Yr. Value]]*'General Variables'!$B$10/Operations[[#This Row],[Annual Use]])</f>
        <v>0</v>
      </c>
      <c r="U80" s="106">
        <f>SUM(Operations[[#This Row],[Depreciation per Unit]:[Opportunity Cost per Unit]])</f>
        <v>0</v>
      </c>
    </row>
    <row r="81" spans="1:21" ht="12.75" customHeight="1" x14ac:dyDescent="0.2">
      <c r="A81" s="142"/>
      <c r="B81" s="143"/>
      <c r="C81" s="144"/>
      <c r="D81" s="144"/>
      <c r="E81" s="128"/>
      <c r="F81" s="129"/>
      <c r="G81" s="128"/>
      <c r="H81" s="128"/>
      <c r="I81" s="130"/>
      <c r="J81" s="131"/>
      <c r="K81" s="144"/>
      <c r="L81" s="129"/>
      <c r="M81" s="132"/>
      <c r="N81"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1"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1"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1"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1" s="105">
        <f>IF(Operations[[#This Row],[Calc List Price]]=0,0,IF(Operations[[#This Row],[Units per Hour]]*Operations[[#This Row],[Annual Use]]=0,0,(Operations[[#This Row],[Calc Beg Yr. Value]]-Operations[[#This Row],[Calc End Yr. Value]])/(Operations[[#This Row],[Annual Use]])))</f>
        <v>0</v>
      </c>
      <c r="S81" s="106">
        <f>IF(Operations[[#This Row],[Annual Use]]=0,0,Operations[[#This Row],[Calc Beg Yr. Value]]*'General Variables'!$B$9/Operations[[#This Row],[Annual Use]])</f>
        <v>0</v>
      </c>
      <c r="T81" s="106">
        <f>IF(Operations[[#This Row],[Annual Use]]=0,0,Operations[[#This Row],[Calc Beg Yr. Value]]*'General Variables'!$B$10/Operations[[#This Row],[Annual Use]])</f>
        <v>0</v>
      </c>
      <c r="U81" s="106">
        <f>SUM(Operations[[#This Row],[Depreciation per Unit]:[Opportunity Cost per Unit]])</f>
        <v>0</v>
      </c>
    </row>
    <row r="82" spans="1:21" ht="12.75" customHeight="1" x14ac:dyDescent="0.2">
      <c r="A82" s="142"/>
      <c r="B82" s="143"/>
      <c r="C82" s="144"/>
      <c r="D82" s="144"/>
      <c r="E82" s="128"/>
      <c r="F82" s="129"/>
      <c r="G82" s="128"/>
      <c r="H82" s="128"/>
      <c r="I82" s="130"/>
      <c r="J82" s="131"/>
      <c r="K82" s="144"/>
      <c r="L82" s="129"/>
      <c r="M82" s="132"/>
      <c r="N82"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2"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2"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2"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2" s="105">
        <f>IF(Operations[[#This Row],[Calc List Price]]=0,0,IF(Operations[[#This Row],[Units per Hour]]*Operations[[#This Row],[Annual Use]]=0,0,(Operations[[#This Row],[Calc Beg Yr. Value]]-Operations[[#This Row],[Calc End Yr. Value]])/(Operations[[#This Row],[Annual Use]])))</f>
        <v>0</v>
      </c>
      <c r="S82" s="106">
        <f>IF(Operations[[#This Row],[Annual Use]]=0,0,Operations[[#This Row],[Calc Beg Yr. Value]]*'General Variables'!$B$9/Operations[[#This Row],[Annual Use]])</f>
        <v>0</v>
      </c>
      <c r="T82" s="106">
        <f>IF(Operations[[#This Row],[Annual Use]]=0,0,Operations[[#This Row],[Calc Beg Yr. Value]]*'General Variables'!$B$10/Operations[[#This Row],[Annual Use]])</f>
        <v>0</v>
      </c>
      <c r="U82" s="106">
        <f>SUM(Operations[[#This Row],[Depreciation per Unit]:[Opportunity Cost per Unit]])</f>
        <v>0</v>
      </c>
    </row>
    <row r="83" spans="1:21" ht="12.75" customHeight="1" x14ac:dyDescent="0.2">
      <c r="A83" s="142"/>
      <c r="B83" s="143"/>
      <c r="C83" s="144"/>
      <c r="D83" s="144"/>
      <c r="E83" s="128"/>
      <c r="F83" s="129"/>
      <c r="G83" s="128"/>
      <c r="H83" s="128"/>
      <c r="I83" s="130"/>
      <c r="J83" s="131"/>
      <c r="K83" s="144"/>
      <c r="L83" s="129"/>
      <c r="M83" s="132"/>
      <c r="N83"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3"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3"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3"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3" s="105">
        <f>IF(Operations[[#This Row],[Calc List Price]]=0,0,IF(Operations[[#This Row],[Units per Hour]]*Operations[[#This Row],[Annual Use]]=0,0,(Operations[[#This Row],[Calc Beg Yr. Value]]-Operations[[#This Row],[Calc End Yr. Value]])/(Operations[[#This Row],[Annual Use]])))</f>
        <v>0</v>
      </c>
      <c r="S83" s="106">
        <f>IF(Operations[[#This Row],[Annual Use]]=0,0,Operations[[#This Row],[Calc Beg Yr. Value]]*'General Variables'!$B$9/Operations[[#This Row],[Annual Use]])</f>
        <v>0</v>
      </c>
      <c r="T83" s="106">
        <f>IF(Operations[[#This Row],[Annual Use]]=0,0,Operations[[#This Row],[Calc Beg Yr. Value]]*'General Variables'!$B$10/Operations[[#This Row],[Annual Use]])</f>
        <v>0</v>
      </c>
      <c r="U83" s="106">
        <f>SUM(Operations[[#This Row],[Depreciation per Unit]:[Opportunity Cost per Unit]])</f>
        <v>0</v>
      </c>
    </row>
    <row r="84" spans="1:21" ht="12.75" customHeight="1" x14ac:dyDescent="0.2">
      <c r="A84" s="142"/>
      <c r="B84" s="143"/>
      <c r="C84" s="144"/>
      <c r="D84" s="144"/>
      <c r="E84" s="128"/>
      <c r="F84" s="129"/>
      <c r="G84" s="128"/>
      <c r="H84" s="128"/>
      <c r="I84" s="130"/>
      <c r="J84" s="131"/>
      <c r="K84" s="144"/>
      <c r="L84" s="129"/>
      <c r="M84" s="132"/>
      <c r="N84"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4"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4"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4"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4" s="105">
        <f>IF(Operations[[#This Row],[Calc List Price]]=0,0,IF(Operations[[#This Row],[Units per Hour]]*Operations[[#This Row],[Annual Use]]=0,0,(Operations[[#This Row],[Calc Beg Yr. Value]]-Operations[[#This Row],[Calc End Yr. Value]])/(Operations[[#This Row],[Annual Use]])))</f>
        <v>0</v>
      </c>
      <c r="S84" s="106">
        <f>IF(Operations[[#This Row],[Annual Use]]=0,0,Operations[[#This Row],[Calc Beg Yr. Value]]*'General Variables'!$B$9/Operations[[#This Row],[Annual Use]])</f>
        <v>0</v>
      </c>
      <c r="T84" s="106">
        <f>IF(Operations[[#This Row],[Annual Use]]=0,0,Operations[[#This Row],[Calc Beg Yr. Value]]*'General Variables'!$B$10/Operations[[#This Row],[Annual Use]])</f>
        <v>0</v>
      </c>
      <c r="U84" s="106">
        <f>SUM(Operations[[#This Row],[Depreciation per Unit]:[Opportunity Cost per Unit]])</f>
        <v>0</v>
      </c>
    </row>
    <row r="85" spans="1:21" ht="12.75" customHeight="1" x14ac:dyDescent="0.2">
      <c r="A85" s="142"/>
      <c r="B85" s="143"/>
      <c r="C85" s="144"/>
      <c r="D85" s="144"/>
      <c r="E85" s="128"/>
      <c r="F85" s="129"/>
      <c r="G85" s="128"/>
      <c r="H85" s="128"/>
      <c r="I85" s="130"/>
      <c r="J85" s="131"/>
      <c r="K85" s="144"/>
      <c r="L85" s="129"/>
      <c r="M85" s="132"/>
      <c r="N85"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5"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5"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5"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5" s="105">
        <f>IF(Operations[[#This Row],[Calc List Price]]=0,0,IF(Operations[[#This Row],[Units per Hour]]*Operations[[#This Row],[Annual Use]]=0,0,(Operations[[#This Row],[Calc Beg Yr. Value]]-Operations[[#This Row],[Calc End Yr. Value]])/(Operations[[#This Row],[Annual Use]])))</f>
        <v>0</v>
      </c>
      <c r="S85" s="106">
        <f>IF(Operations[[#This Row],[Annual Use]]=0,0,Operations[[#This Row],[Calc Beg Yr. Value]]*'General Variables'!$B$9/Operations[[#This Row],[Annual Use]])</f>
        <v>0</v>
      </c>
      <c r="T85" s="106">
        <f>IF(Operations[[#This Row],[Annual Use]]=0,0,Operations[[#This Row],[Calc Beg Yr. Value]]*'General Variables'!$B$10/Operations[[#This Row],[Annual Use]])</f>
        <v>0</v>
      </c>
      <c r="U85" s="106">
        <f>SUM(Operations[[#This Row],[Depreciation per Unit]:[Opportunity Cost per Unit]])</f>
        <v>0</v>
      </c>
    </row>
    <row r="86" spans="1:21" ht="12.75" customHeight="1" x14ac:dyDescent="0.2">
      <c r="A86" s="142"/>
      <c r="B86" s="143"/>
      <c r="C86" s="144"/>
      <c r="D86" s="144"/>
      <c r="E86" s="128"/>
      <c r="F86" s="129"/>
      <c r="G86" s="128"/>
      <c r="H86" s="128"/>
      <c r="I86" s="130"/>
      <c r="J86" s="131"/>
      <c r="K86" s="144"/>
      <c r="L86" s="129"/>
      <c r="M86" s="132"/>
      <c r="N86"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6"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6"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6"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6" s="105">
        <f>IF(Operations[[#This Row],[Calc List Price]]=0,0,IF(Operations[[#This Row],[Units per Hour]]*Operations[[#This Row],[Annual Use]]=0,0,(Operations[[#This Row],[Calc Beg Yr. Value]]-Operations[[#This Row],[Calc End Yr. Value]])/(Operations[[#This Row],[Annual Use]])))</f>
        <v>0</v>
      </c>
      <c r="S86" s="106">
        <f>IF(Operations[[#This Row],[Annual Use]]=0,0,Operations[[#This Row],[Calc Beg Yr. Value]]*'General Variables'!$B$9/Operations[[#This Row],[Annual Use]])</f>
        <v>0</v>
      </c>
      <c r="T86" s="106">
        <f>IF(Operations[[#This Row],[Annual Use]]=0,0,Operations[[#This Row],[Calc Beg Yr. Value]]*'General Variables'!$B$10/Operations[[#This Row],[Annual Use]])</f>
        <v>0</v>
      </c>
      <c r="U86" s="106">
        <f>SUM(Operations[[#This Row],[Depreciation per Unit]:[Opportunity Cost per Unit]])</f>
        <v>0</v>
      </c>
    </row>
    <row r="87" spans="1:21" ht="12.75" customHeight="1" x14ac:dyDescent="0.2">
      <c r="A87" s="142"/>
      <c r="B87" s="143"/>
      <c r="C87" s="144"/>
      <c r="D87" s="144"/>
      <c r="E87" s="128"/>
      <c r="F87" s="129"/>
      <c r="G87" s="128"/>
      <c r="H87" s="128"/>
      <c r="I87" s="130"/>
      <c r="J87" s="131"/>
      <c r="K87" s="144"/>
      <c r="L87" s="129"/>
      <c r="M87" s="132"/>
      <c r="N87"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7"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7"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7"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7" s="105">
        <f>IF(Operations[[#This Row],[Calc List Price]]=0,0,IF(Operations[[#This Row],[Units per Hour]]*Operations[[#This Row],[Annual Use]]=0,0,(Operations[[#This Row],[Calc Beg Yr. Value]]-Operations[[#This Row],[Calc End Yr. Value]])/(Operations[[#This Row],[Annual Use]])))</f>
        <v>0</v>
      </c>
      <c r="S87" s="106">
        <f>IF(Operations[[#This Row],[Annual Use]]=0,0,Operations[[#This Row],[Calc Beg Yr. Value]]*'General Variables'!$B$9/Operations[[#This Row],[Annual Use]])</f>
        <v>0</v>
      </c>
      <c r="T87" s="106">
        <f>IF(Operations[[#This Row],[Annual Use]]=0,0,Operations[[#This Row],[Calc Beg Yr. Value]]*'General Variables'!$B$10/Operations[[#This Row],[Annual Use]])</f>
        <v>0</v>
      </c>
      <c r="U87" s="106">
        <f>SUM(Operations[[#This Row],[Depreciation per Unit]:[Opportunity Cost per Unit]])</f>
        <v>0</v>
      </c>
    </row>
    <row r="88" spans="1:21" ht="12.75" customHeight="1" x14ac:dyDescent="0.2">
      <c r="A88" s="142"/>
      <c r="B88" s="143"/>
      <c r="C88" s="144"/>
      <c r="D88" s="144"/>
      <c r="E88" s="128"/>
      <c r="F88" s="129"/>
      <c r="G88" s="128"/>
      <c r="H88" s="128"/>
      <c r="I88" s="130"/>
      <c r="J88" s="131"/>
      <c r="K88" s="144"/>
      <c r="L88" s="129"/>
      <c r="M88" s="132"/>
      <c r="N88"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8"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8"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8"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8" s="105">
        <f>IF(Operations[[#This Row],[Calc List Price]]=0,0,IF(Operations[[#This Row],[Units per Hour]]*Operations[[#This Row],[Annual Use]]=0,0,(Operations[[#This Row],[Calc Beg Yr. Value]]-Operations[[#This Row],[Calc End Yr. Value]])/(Operations[[#This Row],[Annual Use]])))</f>
        <v>0</v>
      </c>
      <c r="S88" s="106">
        <f>IF(Operations[[#This Row],[Annual Use]]=0,0,Operations[[#This Row],[Calc Beg Yr. Value]]*'General Variables'!$B$9/Operations[[#This Row],[Annual Use]])</f>
        <v>0</v>
      </c>
      <c r="T88" s="106">
        <f>IF(Operations[[#This Row],[Annual Use]]=0,0,Operations[[#This Row],[Calc Beg Yr. Value]]*'General Variables'!$B$10/Operations[[#This Row],[Annual Use]])</f>
        <v>0</v>
      </c>
      <c r="U88" s="106">
        <f>SUM(Operations[[#This Row],[Depreciation per Unit]:[Opportunity Cost per Unit]])</f>
        <v>0</v>
      </c>
    </row>
    <row r="89" spans="1:21" ht="12.75" customHeight="1" x14ac:dyDescent="0.2">
      <c r="A89" s="142"/>
      <c r="B89" s="143"/>
      <c r="C89" s="144"/>
      <c r="D89" s="144"/>
      <c r="E89" s="128"/>
      <c r="F89" s="129"/>
      <c r="G89" s="128"/>
      <c r="H89" s="128"/>
      <c r="I89" s="130"/>
      <c r="J89" s="131"/>
      <c r="K89" s="144"/>
      <c r="L89" s="129"/>
      <c r="M89" s="132"/>
      <c r="N89"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9"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9"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9"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9" s="105">
        <f>IF(Operations[[#This Row],[Calc List Price]]=0,0,IF(Operations[[#This Row],[Units per Hour]]*Operations[[#This Row],[Annual Use]]=0,0,(Operations[[#This Row],[Calc Beg Yr. Value]]-Operations[[#This Row],[Calc End Yr. Value]])/(Operations[[#This Row],[Annual Use]])))</f>
        <v>0</v>
      </c>
      <c r="S89" s="106">
        <f>IF(Operations[[#This Row],[Annual Use]]=0,0,Operations[[#This Row],[Calc Beg Yr. Value]]*'General Variables'!$B$9/Operations[[#This Row],[Annual Use]])</f>
        <v>0</v>
      </c>
      <c r="T89" s="106">
        <f>IF(Operations[[#This Row],[Annual Use]]=0,0,Operations[[#This Row],[Calc Beg Yr. Value]]*'General Variables'!$B$10/Operations[[#This Row],[Annual Use]])</f>
        <v>0</v>
      </c>
      <c r="U89" s="106">
        <f>SUM(Operations[[#This Row],[Depreciation per Unit]:[Opportunity Cost per Unit]])</f>
        <v>0</v>
      </c>
    </row>
    <row r="90" spans="1:21" ht="12.75" customHeight="1" x14ac:dyDescent="0.2">
      <c r="A90" s="142"/>
      <c r="B90" s="143"/>
      <c r="C90" s="144"/>
      <c r="D90" s="144"/>
      <c r="E90" s="128"/>
      <c r="F90" s="129"/>
      <c r="G90" s="128"/>
      <c r="H90" s="128"/>
      <c r="I90" s="130"/>
      <c r="J90" s="131"/>
      <c r="K90" s="144"/>
      <c r="L90" s="129"/>
      <c r="M90" s="132"/>
      <c r="N90"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0"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0"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0"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0" s="105">
        <f>IF(Operations[[#This Row],[Calc List Price]]=0,0,IF(Operations[[#This Row],[Units per Hour]]*Operations[[#This Row],[Annual Use]]=0,0,(Operations[[#This Row],[Calc Beg Yr. Value]]-Operations[[#This Row],[Calc End Yr. Value]])/(Operations[[#This Row],[Annual Use]])))</f>
        <v>0</v>
      </c>
      <c r="S90" s="106">
        <f>IF(Operations[[#This Row],[Annual Use]]=0,0,Operations[[#This Row],[Calc Beg Yr. Value]]*'General Variables'!$B$9/Operations[[#This Row],[Annual Use]])</f>
        <v>0</v>
      </c>
      <c r="T90" s="106">
        <f>IF(Operations[[#This Row],[Annual Use]]=0,0,Operations[[#This Row],[Calc Beg Yr. Value]]*'General Variables'!$B$10/Operations[[#This Row],[Annual Use]])</f>
        <v>0</v>
      </c>
      <c r="U90" s="106">
        <f>SUM(Operations[[#This Row],[Depreciation per Unit]:[Opportunity Cost per Unit]])</f>
        <v>0</v>
      </c>
    </row>
    <row r="91" spans="1:21" ht="12.75" customHeight="1" x14ac:dyDescent="0.2">
      <c r="A91" s="142"/>
      <c r="B91" s="143"/>
      <c r="C91" s="144"/>
      <c r="D91" s="144"/>
      <c r="E91" s="128"/>
      <c r="F91" s="129"/>
      <c r="G91" s="128"/>
      <c r="H91" s="128"/>
      <c r="I91" s="130"/>
      <c r="J91" s="131"/>
      <c r="K91" s="144"/>
      <c r="L91" s="129"/>
      <c r="M91" s="132"/>
      <c r="N91"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1"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1"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1"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1" s="105">
        <f>IF(Operations[[#This Row],[Calc List Price]]=0,0,IF(Operations[[#This Row],[Units per Hour]]*Operations[[#This Row],[Annual Use]]=0,0,(Operations[[#This Row],[Calc Beg Yr. Value]]-Operations[[#This Row],[Calc End Yr. Value]])/(Operations[[#This Row],[Annual Use]])))</f>
        <v>0</v>
      </c>
      <c r="S91" s="106">
        <f>IF(Operations[[#This Row],[Annual Use]]=0,0,Operations[[#This Row],[Calc Beg Yr. Value]]*'General Variables'!$B$9/Operations[[#This Row],[Annual Use]])</f>
        <v>0</v>
      </c>
      <c r="T91" s="106">
        <f>IF(Operations[[#This Row],[Annual Use]]=0,0,Operations[[#This Row],[Calc Beg Yr. Value]]*'General Variables'!$B$10/Operations[[#This Row],[Annual Use]])</f>
        <v>0</v>
      </c>
      <c r="U91" s="106">
        <f>SUM(Operations[[#This Row],[Depreciation per Unit]:[Opportunity Cost per Unit]])</f>
        <v>0</v>
      </c>
    </row>
    <row r="92" spans="1:21" ht="12.75" customHeight="1" x14ac:dyDescent="0.2">
      <c r="A92" s="142"/>
      <c r="B92" s="143"/>
      <c r="C92" s="144"/>
      <c r="D92" s="144"/>
      <c r="E92" s="128"/>
      <c r="F92" s="129"/>
      <c r="G92" s="128"/>
      <c r="H92" s="128"/>
      <c r="I92" s="130"/>
      <c r="J92" s="131"/>
      <c r="K92" s="144"/>
      <c r="L92" s="129"/>
      <c r="M92" s="132"/>
      <c r="N92"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2"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2"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2"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2" s="105">
        <f>IF(Operations[[#This Row],[Calc List Price]]=0,0,IF(Operations[[#This Row],[Units per Hour]]*Operations[[#This Row],[Annual Use]]=0,0,(Operations[[#This Row],[Calc Beg Yr. Value]]-Operations[[#This Row],[Calc End Yr. Value]])/(Operations[[#This Row],[Annual Use]])))</f>
        <v>0</v>
      </c>
      <c r="S92" s="106">
        <f>IF(Operations[[#This Row],[Annual Use]]=0,0,Operations[[#This Row],[Calc Beg Yr. Value]]*'General Variables'!$B$9/Operations[[#This Row],[Annual Use]])</f>
        <v>0</v>
      </c>
      <c r="T92" s="106">
        <f>IF(Operations[[#This Row],[Annual Use]]=0,0,Operations[[#This Row],[Calc Beg Yr. Value]]*'General Variables'!$B$10/Operations[[#This Row],[Annual Use]])</f>
        <v>0</v>
      </c>
      <c r="U92" s="106">
        <f>SUM(Operations[[#This Row],[Depreciation per Unit]:[Opportunity Cost per Unit]])</f>
        <v>0</v>
      </c>
    </row>
    <row r="93" spans="1:21" ht="12.75" customHeight="1" x14ac:dyDescent="0.2">
      <c r="A93" s="142"/>
      <c r="B93" s="143"/>
      <c r="C93" s="144"/>
      <c r="D93" s="144"/>
      <c r="E93" s="128"/>
      <c r="F93" s="129"/>
      <c r="G93" s="128"/>
      <c r="H93" s="128"/>
      <c r="I93" s="130"/>
      <c r="J93" s="131"/>
      <c r="K93" s="144"/>
      <c r="L93" s="129"/>
      <c r="M93" s="132"/>
      <c r="N93"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3"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3"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3"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3" s="105">
        <f>IF(Operations[[#This Row],[Calc List Price]]=0,0,IF(Operations[[#This Row],[Units per Hour]]*Operations[[#This Row],[Annual Use]]=0,0,(Operations[[#This Row],[Calc Beg Yr. Value]]-Operations[[#This Row],[Calc End Yr. Value]])/(Operations[[#This Row],[Annual Use]])))</f>
        <v>0</v>
      </c>
      <c r="S93" s="106">
        <f>IF(Operations[[#This Row],[Annual Use]]=0,0,Operations[[#This Row],[Calc Beg Yr. Value]]*'General Variables'!$B$9/Operations[[#This Row],[Annual Use]])</f>
        <v>0</v>
      </c>
      <c r="T93" s="106">
        <f>IF(Operations[[#This Row],[Annual Use]]=0,0,Operations[[#This Row],[Calc Beg Yr. Value]]*'General Variables'!$B$10/Operations[[#This Row],[Annual Use]])</f>
        <v>0</v>
      </c>
      <c r="U93" s="106">
        <f>SUM(Operations[[#This Row],[Depreciation per Unit]:[Opportunity Cost per Unit]])</f>
        <v>0</v>
      </c>
    </row>
    <row r="94" spans="1:21" ht="12.75" customHeight="1" x14ac:dyDescent="0.2">
      <c r="A94" s="142"/>
      <c r="B94" s="143"/>
      <c r="C94" s="144"/>
      <c r="D94" s="144"/>
      <c r="E94" s="128"/>
      <c r="F94" s="129"/>
      <c r="G94" s="128"/>
      <c r="H94" s="128"/>
      <c r="I94" s="130"/>
      <c r="J94" s="131"/>
      <c r="K94" s="144"/>
      <c r="L94" s="129"/>
      <c r="M94" s="132"/>
      <c r="N94"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4"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4"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4"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4" s="105">
        <f>IF(Operations[[#This Row],[Calc List Price]]=0,0,IF(Operations[[#This Row],[Units per Hour]]*Operations[[#This Row],[Annual Use]]=0,0,(Operations[[#This Row],[Calc Beg Yr. Value]]-Operations[[#This Row],[Calc End Yr. Value]])/(Operations[[#This Row],[Annual Use]])))</f>
        <v>0</v>
      </c>
      <c r="S94" s="106">
        <f>IF(Operations[[#This Row],[Annual Use]]=0,0,Operations[[#This Row],[Calc Beg Yr. Value]]*'General Variables'!$B$9/Operations[[#This Row],[Annual Use]])</f>
        <v>0</v>
      </c>
      <c r="T94" s="106">
        <f>IF(Operations[[#This Row],[Annual Use]]=0,0,Operations[[#This Row],[Calc Beg Yr. Value]]*'General Variables'!$B$10/Operations[[#This Row],[Annual Use]])</f>
        <v>0</v>
      </c>
      <c r="U94" s="106">
        <f>SUM(Operations[[#This Row],[Depreciation per Unit]:[Opportunity Cost per Unit]])</f>
        <v>0</v>
      </c>
    </row>
    <row r="95" spans="1:21" ht="12.75" customHeight="1" x14ac:dyDescent="0.2">
      <c r="A95" s="142"/>
      <c r="B95" s="143"/>
      <c r="C95" s="144"/>
      <c r="D95" s="144"/>
      <c r="E95" s="128"/>
      <c r="F95" s="129"/>
      <c r="G95" s="128"/>
      <c r="H95" s="128"/>
      <c r="I95" s="130"/>
      <c r="J95" s="131"/>
      <c r="K95" s="144"/>
      <c r="L95" s="129"/>
      <c r="M95" s="132"/>
      <c r="N95"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5"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5"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5"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5" s="105">
        <f>IF(Operations[[#This Row],[Calc List Price]]=0,0,IF(Operations[[#This Row],[Units per Hour]]*Operations[[#This Row],[Annual Use]]=0,0,(Operations[[#This Row],[Calc Beg Yr. Value]]-Operations[[#This Row],[Calc End Yr. Value]])/(Operations[[#This Row],[Annual Use]])))</f>
        <v>0</v>
      </c>
      <c r="S95" s="106">
        <f>IF(Operations[[#This Row],[Annual Use]]=0,0,Operations[[#This Row],[Calc Beg Yr. Value]]*'General Variables'!$B$9/Operations[[#This Row],[Annual Use]])</f>
        <v>0</v>
      </c>
      <c r="T95" s="106">
        <f>IF(Operations[[#This Row],[Annual Use]]=0,0,Operations[[#This Row],[Calc Beg Yr. Value]]*'General Variables'!$B$10/Operations[[#This Row],[Annual Use]])</f>
        <v>0</v>
      </c>
      <c r="U95" s="106">
        <f>SUM(Operations[[#This Row],[Depreciation per Unit]:[Opportunity Cost per Unit]])</f>
        <v>0</v>
      </c>
    </row>
    <row r="96" spans="1:21" ht="12.75" customHeight="1" x14ac:dyDescent="0.2">
      <c r="A96" s="142"/>
      <c r="B96" s="143"/>
      <c r="C96" s="144"/>
      <c r="D96" s="144"/>
      <c r="E96" s="128"/>
      <c r="F96" s="129"/>
      <c r="G96" s="128"/>
      <c r="H96" s="128"/>
      <c r="I96" s="130"/>
      <c r="J96" s="131"/>
      <c r="K96" s="144"/>
      <c r="L96" s="129"/>
      <c r="M96" s="145"/>
      <c r="N96"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6"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6"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6"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6" s="105">
        <f>IF(Operations[[#This Row],[Calc List Price]]=0,0,IF(Operations[[#This Row],[Units per Hour]]*Operations[[#This Row],[Annual Use]]=0,0,(Operations[[#This Row],[Calc Beg Yr. Value]]-Operations[[#This Row],[Calc End Yr. Value]])/(Operations[[#This Row],[Annual Use]])))</f>
        <v>0</v>
      </c>
      <c r="S96" s="106">
        <f>IF(Operations[[#This Row],[Annual Use]]=0,0,Operations[[#This Row],[Calc Beg Yr. Value]]*'General Variables'!$B$9/Operations[[#This Row],[Annual Use]])</f>
        <v>0</v>
      </c>
      <c r="T96" s="106">
        <f>IF(Operations[[#This Row],[Annual Use]]=0,0,Operations[[#This Row],[Calc Beg Yr. Value]]*'General Variables'!$B$10/Operations[[#This Row],[Annual Use]])</f>
        <v>0</v>
      </c>
      <c r="U96" s="106">
        <f>SUM(Operations[[#This Row],[Depreciation per Unit]:[Opportunity Cost per Unit]])</f>
        <v>0</v>
      </c>
    </row>
    <row r="97" spans="1:21" ht="12.75" customHeight="1" x14ac:dyDescent="0.2">
      <c r="A97" s="142"/>
      <c r="B97" s="143"/>
      <c r="C97" s="144"/>
      <c r="D97" s="144"/>
      <c r="E97" s="128"/>
      <c r="F97" s="129"/>
      <c r="G97" s="128"/>
      <c r="H97" s="128"/>
      <c r="I97" s="130"/>
      <c r="J97" s="131"/>
      <c r="K97" s="144"/>
      <c r="L97" s="129"/>
      <c r="M97" s="145"/>
      <c r="N97"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7"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7"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7"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7" s="105">
        <f>IF(Operations[[#This Row],[Calc List Price]]=0,0,IF(Operations[[#This Row],[Units per Hour]]*Operations[[#This Row],[Annual Use]]=0,0,(Operations[[#This Row],[Calc Beg Yr. Value]]-Operations[[#This Row],[Calc End Yr. Value]])/(Operations[[#This Row],[Annual Use]])))</f>
        <v>0</v>
      </c>
      <c r="S97" s="106">
        <f>IF(Operations[[#This Row],[Annual Use]]=0,0,Operations[[#This Row],[Calc Beg Yr. Value]]*'General Variables'!$B$9/Operations[[#This Row],[Annual Use]])</f>
        <v>0</v>
      </c>
      <c r="T97" s="106">
        <f>IF(Operations[[#This Row],[Annual Use]]=0,0,Operations[[#This Row],[Calc Beg Yr. Value]]*'General Variables'!$B$10/Operations[[#This Row],[Annual Use]])</f>
        <v>0</v>
      </c>
      <c r="U97" s="106">
        <f>SUM(Operations[[#This Row],[Depreciation per Unit]:[Opportunity Cost per Unit]])</f>
        <v>0</v>
      </c>
    </row>
    <row r="98" spans="1:21" ht="12.75" customHeight="1" x14ac:dyDescent="0.2">
      <c r="A98" s="125"/>
      <c r="B98" s="126"/>
      <c r="C98" s="127"/>
      <c r="D98" s="127"/>
      <c r="E98" s="127"/>
      <c r="F98" s="146"/>
      <c r="G98" s="127"/>
      <c r="H98" s="127"/>
      <c r="I98" s="147"/>
      <c r="J98" s="147"/>
      <c r="K98" s="127"/>
      <c r="L98" s="147"/>
      <c r="M98" s="145"/>
      <c r="N98" s="11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8" s="119">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8" s="11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8" s="11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8" s="120">
        <f>IF(Operations[[#This Row],[Calc List Price]]=0,0,IF(Operations[[#This Row],[Units per Hour]]*Operations[[#This Row],[Annual Use]]=0,0,(Operations[[#This Row],[Calc Beg Yr. Value]]-Operations[[#This Row],[Calc End Yr. Value]])/(Operations[[#This Row],[Annual Use]])))</f>
        <v>0</v>
      </c>
      <c r="S98" s="121">
        <f>IF(Operations[[#This Row],[Annual Use]]=0,0,Operations[[#This Row],[Calc Beg Yr. Value]]*'General Variables'!$B$9/Operations[[#This Row],[Annual Use]])</f>
        <v>0</v>
      </c>
      <c r="T98" s="121">
        <f>IF(Operations[[#This Row],[Annual Use]]=0,0,Operations[[#This Row],[Calc Beg Yr. Value]]*'General Variables'!$B$10/Operations[[#This Row],[Annual Use]])</f>
        <v>0</v>
      </c>
      <c r="U98" s="122">
        <f>SUM(Operations[[#This Row],[Depreciation per Unit]:[Opportunity Cost per Unit]])</f>
        <v>0</v>
      </c>
    </row>
    <row r="99" spans="1:21" ht="12.75" customHeight="1" x14ac:dyDescent="0.2">
      <c r="A99" s="125"/>
      <c r="B99" s="126"/>
      <c r="C99" s="127"/>
      <c r="D99" s="127"/>
      <c r="E99" s="127"/>
      <c r="F99" s="146"/>
      <c r="G99" s="127"/>
      <c r="H99" s="127"/>
      <c r="I99" s="147"/>
      <c r="J99" s="147"/>
      <c r="K99" s="127"/>
      <c r="L99" s="147"/>
      <c r="M99" s="145"/>
      <c r="N99" s="11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9" s="119">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9" s="11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9" s="11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9" s="120">
        <f>IF(Operations[[#This Row],[Calc List Price]]=0,0,IF(Operations[[#This Row],[Units per Hour]]*Operations[[#This Row],[Annual Use]]=0,0,(Operations[[#This Row],[Calc Beg Yr. Value]]-Operations[[#This Row],[Calc End Yr. Value]])/(Operations[[#This Row],[Annual Use]])))</f>
        <v>0</v>
      </c>
      <c r="S99" s="121">
        <f>IF(Operations[[#This Row],[Annual Use]]=0,0,Operations[[#This Row],[Calc Beg Yr. Value]]*'General Variables'!$B$9/Operations[[#This Row],[Annual Use]])</f>
        <v>0</v>
      </c>
      <c r="T99" s="121">
        <f>IF(Operations[[#This Row],[Annual Use]]=0,0,Operations[[#This Row],[Calc Beg Yr. Value]]*'General Variables'!$B$10/Operations[[#This Row],[Annual Use]])</f>
        <v>0</v>
      </c>
      <c r="U99" s="122">
        <f>SUM(Operations[[#This Row],[Depreciation per Unit]:[Opportunity Cost per Unit]])</f>
        <v>0</v>
      </c>
    </row>
    <row r="100" spans="1:21" ht="12.75" customHeight="1" x14ac:dyDescent="0.2">
      <c r="A100" s="142"/>
      <c r="B100" s="143"/>
      <c r="C100" s="144"/>
      <c r="D100" s="144"/>
      <c r="E100" s="128"/>
      <c r="F100" s="129"/>
      <c r="G100" s="128"/>
      <c r="H100" s="128"/>
      <c r="I100" s="130"/>
      <c r="J100" s="131"/>
      <c r="K100" s="144"/>
      <c r="L100" s="129"/>
      <c r="M100" s="145"/>
      <c r="N100"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0"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0"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0"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0" s="105">
        <f>IF(Operations[[#This Row],[Calc List Price]]=0,0,IF(Operations[[#This Row],[Units per Hour]]*Operations[[#This Row],[Annual Use]]=0,0,(Operations[[#This Row],[Calc Beg Yr. Value]]-Operations[[#This Row],[Calc End Yr. Value]])/(Operations[[#This Row],[Annual Use]])))</f>
        <v>0</v>
      </c>
      <c r="S100" s="106">
        <f>IF(Operations[[#This Row],[Annual Use]]=0,0,Operations[[#This Row],[Calc Beg Yr. Value]]*'General Variables'!$B$9/Operations[[#This Row],[Annual Use]])</f>
        <v>0</v>
      </c>
      <c r="T100" s="106">
        <f>IF(Operations[[#This Row],[Annual Use]]=0,0,Operations[[#This Row],[Calc Beg Yr. Value]]*'General Variables'!$B$10/Operations[[#This Row],[Annual Use]])</f>
        <v>0</v>
      </c>
      <c r="U100" s="106">
        <f>SUM(Operations[[#This Row],[Depreciation per Unit]:[Opportunity Cost per Unit]])</f>
        <v>0</v>
      </c>
    </row>
    <row r="101" spans="1:21" ht="12.75" customHeight="1" x14ac:dyDescent="0.2">
      <c r="A101" s="142"/>
      <c r="B101" s="143"/>
      <c r="C101" s="144"/>
      <c r="D101" s="144"/>
      <c r="E101" s="144"/>
      <c r="F101" s="129"/>
      <c r="G101" s="128"/>
      <c r="H101" s="144"/>
      <c r="I101" s="131"/>
      <c r="J101" s="131"/>
      <c r="K101" s="144"/>
      <c r="L101" s="129"/>
      <c r="M101" s="145"/>
      <c r="N101"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1" s="10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1"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1"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1" s="105">
        <f>IF(Operations[[#This Row],[Calc List Price]]=0,0,IF(Operations[[#This Row],[Units per Hour]]*Operations[[#This Row],[Annual Use]]=0,0,(Operations[[#This Row],[Calc Beg Yr. Value]]-Operations[[#This Row],[Calc End Yr. Value]])/(Operations[[#This Row],[Annual Use]])))</f>
        <v>0</v>
      </c>
      <c r="S101" s="106">
        <f>IF(Operations[[#This Row],[Annual Use]]=0,0,Operations[[#This Row],[Calc Beg Yr. Value]]*'General Variables'!$B$9/Operations[[#This Row],[Annual Use]])</f>
        <v>0</v>
      </c>
      <c r="T101" s="106">
        <f>IF(Operations[[#This Row],[Annual Use]]=0,0,Operations[[#This Row],[Calc Beg Yr. Value]]*'General Variables'!$B$10/Operations[[#This Row],[Annual Use]])</f>
        <v>0</v>
      </c>
      <c r="U101" s="106">
        <f>SUM(Operations[[#This Row],[Depreciation per Unit]:[Opportunity Cost per Unit]])</f>
        <v>0</v>
      </c>
    </row>
    <row r="102" spans="1:21" x14ac:dyDescent="0.2">
      <c r="B102" s="107"/>
      <c r="C102" s="107"/>
      <c r="D102" s="107"/>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74" orientation="landscape" r:id="rId1"/>
  <legacy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2:O226"/>
  <sheetViews>
    <sheetView workbookViewId="0"/>
  </sheetViews>
  <sheetFormatPr defaultRowHeight="12.75" x14ac:dyDescent="0.2"/>
  <cols>
    <col min="1" max="1" width="5.140625" style="198" customWidth="1"/>
    <col min="2" max="2" width="27.28515625" style="198" customWidth="1"/>
    <col min="3" max="3" width="7.28515625" style="198" customWidth="1"/>
    <col min="4" max="4" width="4.7109375" style="198" customWidth="1"/>
    <col min="5" max="5" width="9.140625" style="198"/>
    <col min="6" max="6" width="11.140625" style="198" customWidth="1"/>
    <col min="7" max="7" width="8" style="198" customWidth="1"/>
    <col min="8" max="8" width="7.7109375" style="198" customWidth="1"/>
    <col min="9" max="9" width="9.140625" style="198" customWidth="1"/>
    <col min="10" max="10" width="9.140625" style="198"/>
    <col min="11" max="11" width="8.7109375" style="198" customWidth="1"/>
    <col min="12" max="16384" width="9.140625" style="198"/>
  </cols>
  <sheetData>
    <row r="2" spans="1:15" ht="14.25" hidden="1" customHeight="1" x14ac:dyDescent="0.2">
      <c r="A2" s="254" t="s">
        <v>435</v>
      </c>
      <c r="B2" s="253"/>
      <c r="C2" s="252"/>
      <c r="D2" s="252"/>
      <c r="E2" s="253"/>
      <c r="F2" s="252"/>
      <c r="G2" s="252"/>
      <c r="H2" s="255" t="s">
        <v>85</v>
      </c>
      <c r="I2" s="253"/>
      <c r="J2" s="242"/>
      <c r="K2" s="243" t="str">
        <f>'General Variables'!A3&amp;" "&amp;'General Variables'!B3</f>
        <v>Year 2015</v>
      </c>
      <c r="O2" s="207" t="s">
        <v>458</v>
      </c>
    </row>
    <row r="3" spans="1:15" hidden="1" x14ac:dyDescent="0.2">
      <c r="A3" s="254" t="s">
        <v>78</v>
      </c>
      <c r="B3" s="253"/>
      <c r="C3" s="252"/>
      <c r="D3" s="252"/>
      <c r="E3" s="253"/>
      <c r="F3" s="252"/>
      <c r="G3" s="252"/>
      <c r="H3" s="256" t="s">
        <v>86</v>
      </c>
      <c r="I3" s="260" t="str">
        <f>IF(H3="","","acre-inches")</f>
        <v>acre-inches</v>
      </c>
      <c r="J3" s="242"/>
      <c r="K3" s="242"/>
      <c r="O3" s="207" t="s">
        <v>457</v>
      </c>
    </row>
    <row r="4" spans="1:15" hidden="1" x14ac:dyDescent="0.2">
      <c r="A4" s="254" t="s">
        <v>79</v>
      </c>
      <c r="B4" s="254" t="s">
        <v>77</v>
      </c>
      <c r="C4" s="252"/>
      <c r="D4" s="252"/>
      <c r="E4" s="253"/>
      <c r="F4" s="253"/>
      <c r="G4" s="253"/>
      <c r="H4" s="253"/>
      <c r="I4" s="253"/>
      <c r="J4" s="242"/>
      <c r="K4" s="242"/>
      <c r="O4" s="207" t="str">
        <f>B4</f>
        <v>Unit</v>
      </c>
    </row>
    <row r="5" spans="1:15" s="216" customFormat="1" ht="30" customHeight="1" x14ac:dyDescent="0.25">
      <c r="A5" s="311" t="str">
        <f>'General Variables'!B3 &amp; " " &amp; A2 &amp; ", " &amp; A3 &amp; IF(A4=""," ", " (") &amp; A4 &amp; " " &amp; B4 &amp; IF(A4="",""," Actual Yield)")</f>
        <v>2015 Budget . Master, System (Yield Unit Actual Yield)</v>
      </c>
      <c r="B5" s="311"/>
      <c r="C5" s="311"/>
      <c r="D5" s="311"/>
      <c r="E5" s="311"/>
      <c r="F5" s="311"/>
      <c r="G5" s="311"/>
      <c r="H5" s="311"/>
      <c r="I5" s="311"/>
      <c r="J5" s="311"/>
      <c r="K5" s="311"/>
      <c r="L5" s="311"/>
      <c r="O5" s="233"/>
    </row>
    <row r="6" spans="1:15" s="216" customFormat="1" ht="15.75" x14ac:dyDescent="0.25">
      <c r="A6" s="237" t="str">
        <f>IF(H2="Dryland","Dryland",H2 &amp; ", " &amp; H3 &amp; " " &amp;I3)</f>
        <v>Water Source, Water Applied acre-inches</v>
      </c>
      <c r="B6" s="236"/>
      <c r="C6" s="248"/>
      <c r="D6" s="248"/>
      <c r="E6" s="234"/>
      <c r="F6" s="234"/>
      <c r="G6" s="234"/>
      <c r="H6" s="234"/>
      <c r="I6" s="234"/>
      <c r="J6" s="39" t="s">
        <v>570</v>
      </c>
      <c r="K6" s="283"/>
      <c r="O6" s="233"/>
    </row>
    <row r="8" spans="1:15" s="242" customFormat="1" ht="22.5" customHeight="1" x14ac:dyDescent="0.2">
      <c r="B8" s="312" t="s">
        <v>80</v>
      </c>
      <c r="C8" s="310" t="s">
        <v>1</v>
      </c>
      <c r="D8" s="284"/>
      <c r="E8" s="310" t="str">
        <f>"Labor @ $" &amp;TEXT('General Variables'!B4,"#.00")&amp; " /Hr"</f>
        <v>Labor @ $20.00 /Hr</v>
      </c>
      <c r="F8" s="310" t="str">
        <f>"Fuel @ $" &amp; TEXT('General Variables'!B5,"#.00") &amp; " and Lube"</f>
        <v>Fuel @ $3.25 and Lube</v>
      </c>
      <c r="G8" s="314" t="s">
        <v>81</v>
      </c>
      <c r="H8" s="314"/>
      <c r="I8" s="314" t="s">
        <v>380</v>
      </c>
      <c r="J8" s="314"/>
      <c r="K8" s="314" t="s">
        <v>2</v>
      </c>
      <c r="L8" s="310" t="s">
        <v>400</v>
      </c>
    </row>
    <row r="9" spans="1:15" s="242" customFormat="1" ht="17.25" customHeight="1" thickBot="1" x14ac:dyDescent="0.25">
      <c r="B9" s="313"/>
      <c r="C9" s="309"/>
      <c r="D9" s="285" t="s">
        <v>77</v>
      </c>
      <c r="E9" s="309"/>
      <c r="F9" s="309"/>
      <c r="G9" s="286" t="s">
        <v>82</v>
      </c>
      <c r="H9" s="286" t="s">
        <v>84</v>
      </c>
      <c r="I9" s="286" t="s">
        <v>82</v>
      </c>
      <c r="J9" s="286" t="s">
        <v>84</v>
      </c>
      <c r="K9" s="315"/>
      <c r="L9" s="309"/>
    </row>
    <row r="10" spans="1:15" ht="13.5" thickTop="1" x14ac:dyDescent="0.2">
      <c r="A10" s="287">
        <v>1</v>
      </c>
      <c r="B10" s="261"/>
      <c r="C10" s="257">
        <v>1</v>
      </c>
      <c r="D10" s="263"/>
      <c r="E10" s="208" t="str">
        <f>IF(B10=0,"",IF(C10&gt;9999,"",ROUND('General Variables'!$B$4*VLOOKUP(B10,Operations[],10,FALSE)/VLOOKUP(B10,Operations[],9,FALSE)*C10,2)))</f>
        <v/>
      </c>
      <c r="F10" s="208">
        <f>IF(B10=0,0,IF(C10&gt;9999,"",ROUND(IF(VLOOKUP(B10,Operations[],12,FALSE)=0,VLOOKUP(B10,Operations[],13,FALSE)*'General Variables'!$B$8,VLOOKUP(B10,Operations[],12,FALSE)*'General Variables'!$B$7)/VLOOKUP(B10,Operations[],9,FALSE)*C10,2)))</f>
        <v>0</v>
      </c>
      <c r="G10" s="208">
        <f>IF(B10=0,0,IF(C10&gt;9999,"",ROUND(VLOOKUP(VLOOKUP(B10,Operations[],11,FALSE),PowerUnits[],10,FALSE)/VLOOKUP(B10,Operations[],9,FALSE)*C10,2)))</f>
        <v>0</v>
      </c>
      <c r="H10" s="208" t="str">
        <f>IF(B10=0,"",IF(C10&gt;9999,"",ROUND(VLOOKUP($B10,Operations[],15,FALSE)*C10,2)))</f>
        <v/>
      </c>
      <c r="I10" s="208">
        <f>IF(B10=0,0,IF(C10&gt;9999,"",ROUND(VLOOKUP(VLOOKUP(B10,Operations[],11,FALSE),PowerUnits[],16,FALSE)/VLOOKUP(B10,Operations[],9,FALSE)*C10,2)))</f>
        <v>0</v>
      </c>
      <c r="J10" s="208" t="str">
        <f>IF(B10=0,"",IF(C10&gt;9999,"",ROUND(VLOOKUP($B10,Operations[],21,FALSE)*$C10,2)))</f>
        <v/>
      </c>
      <c r="K10" s="208">
        <f>IF(C10&gt;9999,"",ROUND(SUM(E10:J10),2))</f>
        <v>0</v>
      </c>
      <c r="L10" s="210"/>
    </row>
    <row r="11" spans="1:15" x14ac:dyDescent="0.2">
      <c r="A11" s="287">
        <v>2</v>
      </c>
      <c r="B11" s="261"/>
      <c r="C11" s="257">
        <v>1</v>
      </c>
      <c r="D11" s="263"/>
      <c r="E11" s="208" t="str">
        <f>IF(B11=0,"",IF(C11&gt;9999,"",ROUND('General Variables'!$B$4*VLOOKUP(B11,Operations[],10,FALSE)/VLOOKUP(B11,Operations[],9,FALSE)*C11,2)))</f>
        <v/>
      </c>
      <c r="F11" s="208">
        <f>IF(B11=0,0,IF(C11&gt;9999,"",ROUND(IF(VLOOKUP(B11,Operations[],12,FALSE)=0,VLOOKUP(B11,Operations[],13,FALSE)*'General Variables'!$B$8,VLOOKUP(B11,Operations[],12,FALSE)*'General Variables'!$B$7)/VLOOKUP(B11,Operations[],9,FALSE)*C11,2)))</f>
        <v>0</v>
      </c>
      <c r="G11" s="208">
        <f>IF(B11=0,0,IF(C11&gt;9999,"",ROUND(VLOOKUP(VLOOKUP(B11,Operations[],11,FALSE),PowerUnits[],10,FALSE)/VLOOKUP(B11,Operations[],9,FALSE)*C11,2)))</f>
        <v>0</v>
      </c>
      <c r="H11" s="208" t="str">
        <f>IF(B11=0,"",IF(C11&gt;9999,"",ROUND(VLOOKUP($B11,Operations[],15,FALSE)*C11,2)))</f>
        <v/>
      </c>
      <c r="I11" s="208">
        <f>IF(B11=0,0,IF(C11&gt;9999,"",ROUND(VLOOKUP(VLOOKUP(B11,Operations[],11,FALSE),PowerUnits[],16,FALSE)/VLOOKUP(B11,Operations[],9,FALSE)*C11,2)))</f>
        <v>0</v>
      </c>
      <c r="J11" s="208" t="str">
        <f>IF(B11=0,"",IF(C11&gt;9999,"",ROUND(VLOOKUP($B11,Operations[],21,FALSE)*$C11,2)))</f>
        <v/>
      </c>
      <c r="K11" s="208">
        <f t="shared" ref="K11:K29" si="0">IF(C11&gt;9999,"",ROUND(SUM(E11:J11),2))</f>
        <v>0</v>
      </c>
      <c r="L11" s="210"/>
    </row>
    <row r="12" spans="1:15" x14ac:dyDescent="0.2">
      <c r="A12" s="287">
        <v>3</v>
      </c>
      <c r="B12" s="261"/>
      <c r="C12" s="257"/>
      <c r="D12" s="263"/>
      <c r="E12" s="208" t="str">
        <f>IF(B12=0,"",IF(C12&gt;9999,"",ROUND('General Variables'!$B$4*VLOOKUP(B12,Operations[],10,FALSE)/VLOOKUP(B12,Operations[],9,FALSE)*C12,2)))</f>
        <v/>
      </c>
      <c r="F12" s="208">
        <f>IF(B12=0,0,IF(C12&gt;9999,"",ROUND(IF(VLOOKUP(B12,Operations[],12,FALSE)=0,VLOOKUP(B12,Operations[],13,FALSE)*'General Variables'!$B$8,VLOOKUP(B12,Operations[],12,FALSE)*'General Variables'!$B$7)/VLOOKUP(B12,Operations[],9,FALSE)*C12,2)))</f>
        <v>0</v>
      </c>
      <c r="G12" s="208">
        <f>IF(B12=0,0,IF(C12&gt;9999,"",ROUND(VLOOKUP(VLOOKUP(B12,Operations[],11,FALSE),PowerUnits[],10,FALSE)/VLOOKUP(B12,Operations[],9,FALSE)*C12,2)))</f>
        <v>0</v>
      </c>
      <c r="H12" s="208" t="str">
        <f>IF(B12=0,"",IF(C12&gt;9999,"",ROUND(VLOOKUP($B12,Operations[],15,FALSE)*C12,2)))</f>
        <v/>
      </c>
      <c r="I12" s="208">
        <f>IF(B12=0,0,IF(C12&gt;9999,"",ROUND(VLOOKUP(VLOOKUP(B12,Operations[],11,FALSE),PowerUnits[],16,FALSE)/VLOOKUP(B12,Operations[],9,FALSE)*C12,2)))</f>
        <v>0</v>
      </c>
      <c r="J12" s="208" t="str">
        <f>IF(B12=0,"",IF(C12&gt;9999,"",ROUND(VLOOKUP($B12,Operations[],21,FALSE)*$C12,2)))</f>
        <v/>
      </c>
      <c r="K12" s="208">
        <f t="shared" si="0"/>
        <v>0</v>
      </c>
      <c r="L12" s="210"/>
    </row>
    <row r="13" spans="1:15" x14ac:dyDescent="0.2">
      <c r="A13" s="287">
        <v>4</v>
      </c>
      <c r="B13" s="261"/>
      <c r="C13" s="257"/>
      <c r="D13" s="263"/>
      <c r="E13" s="208" t="str">
        <f>IF(B13=0,"",IF(C13&gt;9999,"",ROUND('General Variables'!$B$4*VLOOKUP(B13,Operations[],10,FALSE)/VLOOKUP(B13,Operations[],9,FALSE)*C13,2)))</f>
        <v/>
      </c>
      <c r="F13" s="208">
        <f>IF(B13=0,0,IF(C13&gt;9999,"",ROUND(IF(VLOOKUP(B13,Operations[],12,FALSE)=0,VLOOKUP(B13,Operations[],13,FALSE)*'General Variables'!$B$8,VLOOKUP(B13,Operations[],12,FALSE)*'General Variables'!$B$7)/VLOOKUP(B13,Operations[],9,FALSE)*C13,2)))</f>
        <v>0</v>
      </c>
      <c r="G13" s="208">
        <f>IF(B13=0,0,IF(C13&gt;9999,"",ROUND(VLOOKUP(VLOOKUP(B13,Operations[],11,FALSE),PowerUnits[],10,FALSE)/VLOOKUP(B13,Operations[],9,FALSE)*C13,2)))</f>
        <v>0</v>
      </c>
      <c r="H13" s="208" t="str">
        <f>IF(B13=0,"",IF(C13&gt;9999,"",ROUND(VLOOKUP($B13,Operations[],15,FALSE)*C13,2)))</f>
        <v/>
      </c>
      <c r="I13" s="208">
        <f>IF(B13=0,0,IF(C13&gt;9999,"",ROUND(VLOOKUP(VLOOKUP(B13,Operations[],11,FALSE),PowerUnits[],16,FALSE)/VLOOKUP(B13,Operations[],9,FALSE)*C13,2)))</f>
        <v>0</v>
      </c>
      <c r="J13" s="208" t="str">
        <f>IF(B13=0,"",IF(C13&gt;9999,"",ROUND(VLOOKUP($B13,Operations[],21,FALSE)*$C13,2)))</f>
        <v/>
      </c>
      <c r="K13" s="208">
        <f t="shared" si="0"/>
        <v>0</v>
      </c>
      <c r="L13" s="210"/>
    </row>
    <row r="14" spans="1:15" x14ac:dyDescent="0.2">
      <c r="A14" s="287">
        <v>5</v>
      </c>
      <c r="B14" s="261"/>
      <c r="C14" s="257"/>
      <c r="D14" s="263"/>
      <c r="E14" s="208" t="str">
        <f>IF(B14=0,"",IF(C14&gt;9999,"",ROUND('General Variables'!$B$4*VLOOKUP(B14,Operations[],10,FALSE)/VLOOKUP(B14,Operations[],9,FALSE)*C14,2)))</f>
        <v/>
      </c>
      <c r="F14" s="208">
        <f>IF(B14=0,0,IF(C14&gt;9999,"",ROUND(IF(VLOOKUP(B14,Operations[],12,FALSE)=0,VLOOKUP(B14,Operations[],13,FALSE)*'General Variables'!$B$8,VLOOKUP(B14,Operations[],12,FALSE)*'General Variables'!$B$7)/VLOOKUP(B14,Operations[],9,FALSE)*C14,2)))</f>
        <v>0</v>
      </c>
      <c r="G14" s="208">
        <f>IF(B14=0,0,IF(C14&gt;9999,"",ROUND(VLOOKUP(VLOOKUP(B14,Operations[],11,FALSE),PowerUnits[],10,FALSE)/VLOOKUP(B14,Operations[],9,FALSE)*C14,2)))</f>
        <v>0</v>
      </c>
      <c r="H14" s="208" t="str">
        <f>IF(B14=0,"",IF(C14&gt;9999,"",ROUND(VLOOKUP($B14,Operations[],15,FALSE)*C14,2)))</f>
        <v/>
      </c>
      <c r="I14" s="208">
        <f>IF(B14=0,0,IF(C14&gt;9999,"",ROUND(VLOOKUP(VLOOKUP(B14,Operations[],11,FALSE),PowerUnits[],16,FALSE)/VLOOKUP(B14,Operations[],9,FALSE)*C14,2)))</f>
        <v>0</v>
      </c>
      <c r="J14" s="208" t="str">
        <f>IF(B14=0,"",IF(C14&gt;9999,"",ROUND(VLOOKUP($B14,Operations[],21,FALSE)*$C14,2)))</f>
        <v/>
      </c>
      <c r="K14" s="208">
        <f t="shared" si="0"/>
        <v>0</v>
      </c>
      <c r="L14" s="210"/>
    </row>
    <row r="15" spans="1:15" x14ac:dyDescent="0.2">
      <c r="A15" s="287">
        <v>6</v>
      </c>
      <c r="B15" s="261"/>
      <c r="C15" s="257"/>
      <c r="D15" s="263"/>
      <c r="E15" s="208" t="str">
        <f>IF(B15=0,"",IF(C15&gt;9999,"",ROUND('General Variables'!$B$4*VLOOKUP(B15,Operations[],10,FALSE)/VLOOKUP(B15,Operations[],9,FALSE)*C15,2)))</f>
        <v/>
      </c>
      <c r="F15" s="208">
        <f>IF(B15=0,0,IF(C15&gt;9999,"",ROUND(IF(VLOOKUP(B15,Operations[],12,FALSE)=0,VLOOKUP(B15,Operations[],13,FALSE)*'General Variables'!$B$8,VLOOKUP(B15,Operations[],12,FALSE)*'General Variables'!$B$7)/VLOOKUP(B15,Operations[],9,FALSE)*C15,2)))</f>
        <v>0</v>
      </c>
      <c r="G15" s="208">
        <f>IF(B15=0,0,IF(C15&gt;9999,"",ROUND(VLOOKUP(VLOOKUP(B15,Operations[],11,FALSE),PowerUnits[],10,FALSE)/VLOOKUP(B15,Operations[],9,FALSE)*C15,2)))</f>
        <v>0</v>
      </c>
      <c r="H15" s="208" t="str">
        <f>IF(B15=0,"",IF(C15&gt;9999,"",ROUND(VLOOKUP($B15,Operations[],15,FALSE)*C15,2)))</f>
        <v/>
      </c>
      <c r="I15" s="208">
        <f>IF(B15=0,0,IF(C15&gt;9999,"",ROUND(VLOOKUP(VLOOKUP(B15,Operations[],11,FALSE),PowerUnits[],16,FALSE)/VLOOKUP(B15,Operations[],9,FALSE)*C15,2)))</f>
        <v>0</v>
      </c>
      <c r="J15" s="208" t="str">
        <f>IF(B15=0,"",IF(C15&gt;9999,"",ROUND(VLOOKUP($B15,Operations[],21,FALSE)*$C15,2)))</f>
        <v/>
      </c>
      <c r="K15" s="208">
        <f t="shared" si="0"/>
        <v>0</v>
      </c>
      <c r="L15" s="210"/>
    </row>
    <row r="16" spans="1:15" x14ac:dyDescent="0.2">
      <c r="A16" s="287">
        <v>7</v>
      </c>
      <c r="B16" s="261"/>
      <c r="C16" s="257"/>
      <c r="D16" s="263"/>
      <c r="E16" s="208" t="str">
        <f>IF(B16=0,"",IF(C16&gt;9999,"",ROUND('General Variables'!$B$4*VLOOKUP(B16,Operations[],10,FALSE)/VLOOKUP(B16,Operations[],9,FALSE)*C16,2)))</f>
        <v/>
      </c>
      <c r="F16" s="208">
        <f>IF(B16=0,0,IF(C16&gt;9999,"",ROUND(IF(VLOOKUP(B16,Operations[],12,FALSE)=0,VLOOKUP(B16,Operations[],13,FALSE)*'General Variables'!$B$8,VLOOKUP(B16,Operations[],12,FALSE)*'General Variables'!$B$7)/VLOOKUP(B16,Operations[],9,FALSE)*C16,2)))</f>
        <v>0</v>
      </c>
      <c r="G16" s="208">
        <f>IF(B16=0,0,IF(C16&gt;9999,"",ROUND(VLOOKUP(VLOOKUP(B16,Operations[],11,FALSE),PowerUnits[],10,FALSE)/VLOOKUP(B16,Operations[],9,FALSE)*C16,2)))</f>
        <v>0</v>
      </c>
      <c r="H16" s="208" t="str">
        <f>IF(B16=0,"",IF(C16&gt;9999,"",ROUND(VLOOKUP($B16,Operations[],15,FALSE)*C16,2)))</f>
        <v/>
      </c>
      <c r="I16" s="208">
        <f>IF(B16=0,0,IF(C16&gt;9999,"",ROUND(VLOOKUP(VLOOKUP(B16,Operations[],11,FALSE),PowerUnits[],16,FALSE)/VLOOKUP(B16,Operations[],9,FALSE)*C16,2)))</f>
        <v>0</v>
      </c>
      <c r="J16" s="208" t="str">
        <f>IF(B16=0,"",IF(C16&gt;9999,"",ROUND(VLOOKUP($B16,Operations[],21,FALSE)*$C16,2)))</f>
        <v/>
      </c>
      <c r="K16" s="208">
        <f t="shared" si="0"/>
        <v>0</v>
      </c>
      <c r="L16" s="210"/>
    </row>
    <row r="17" spans="1:12" x14ac:dyDescent="0.2">
      <c r="A17" s="287">
        <v>8</v>
      </c>
      <c r="B17" s="261"/>
      <c r="C17" s="257"/>
      <c r="D17" s="263"/>
      <c r="E17" s="208" t="str">
        <f>IF(B17=0,"",IF(C17&gt;9999,"",ROUND('General Variables'!$B$4*VLOOKUP(B17,Operations[],10,FALSE)/VLOOKUP(B17,Operations[],9,FALSE)*C17,2)))</f>
        <v/>
      </c>
      <c r="F17" s="208">
        <f>IF(B17=0,0,IF(C17&gt;9999,"",ROUND(IF(VLOOKUP(B17,Operations[],12,FALSE)=0,VLOOKUP(B17,Operations[],13,FALSE)*'General Variables'!$B$8,VLOOKUP(B17,Operations[],12,FALSE)*'General Variables'!$B$7)/VLOOKUP(B17,Operations[],9,FALSE)*C17,2)))</f>
        <v>0</v>
      </c>
      <c r="G17" s="208">
        <f>IF(B17=0,0,IF(C17&gt;9999,"",ROUND(VLOOKUP(VLOOKUP(B17,Operations[],11,FALSE),PowerUnits[],10,FALSE)/VLOOKUP(B17,Operations[],9,FALSE)*C17,2)))</f>
        <v>0</v>
      </c>
      <c r="H17" s="208" t="str">
        <f>IF(B17=0,"",IF(C17&gt;9999,"",ROUND(VLOOKUP($B17,Operations[],15,FALSE)*C17,2)))</f>
        <v/>
      </c>
      <c r="I17" s="208">
        <f>IF(B17=0,0,IF(C17&gt;9999,"",ROUND(VLOOKUP(VLOOKUP(B17,Operations[],11,FALSE),PowerUnits[],16,FALSE)/VLOOKUP(B17,Operations[],9,FALSE)*C17,2)))</f>
        <v>0</v>
      </c>
      <c r="J17" s="208" t="str">
        <f>IF(B17=0,"",IF(C17&gt;9999,"",ROUND(VLOOKUP($B17,Operations[],21,FALSE)*$C17,2)))</f>
        <v/>
      </c>
      <c r="K17" s="208">
        <f>IF(C17&gt;9999,"",ROUND(SUM(E17:J17),2))</f>
        <v>0</v>
      </c>
      <c r="L17" s="210"/>
    </row>
    <row r="18" spans="1:12" x14ac:dyDescent="0.2">
      <c r="A18" s="287">
        <v>9</v>
      </c>
      <c r="B18" s="261"/>
      <c r="C18" s="257"/>
      <c r="D18" s="263"/>
      <c r="E18" s="208" t="str">
        <f>IF(B18=0,"",IF(C18&gt;9999,"",ROUND('General Variables'!$B$4*VLOOKUP(B18,Operations[],10,FALSE)/VLOOKUP(B18,Operations[],9,FALSE)*C18,2)))</f>
        <v/>
      </c>
      <c r="F18" s="208">
        <f>IF(B18=0,0,IF(C18&gt;9999,"",ROUND(IF(VLOOKUP(B18,Operations[],12,FALSE)=0,VLOOKUP(B18,Operations[],13,FALSE)*'General Variables'!$B$8,VLOOKUP(B18,Operations[],12,FALSE)*'General Variables'!$B$7)/VLOOKUP(B18,Operations[],9,FALSE)*C18,2)))</f>
        <v>0</v>
      </c>
      <c r="G18" s="208">
        <f>IF(B18=0,0,IF(C18&gt;9999,"",ROUND(VLOOKUP(VLOOKUP(B18,Operations[],11,FALSE),PowerUnits[],10,FALSE)/VLOOKUP(B18,Operations[],9,FALSE)*C18,2)))</f>
        <v>0</v>
      </c>
      <c r="H18" s="208" t="str">
        <f>IF(B18=0,"",IF(C18&gt;9999,"",ROUND(VLOOKUP($B18,Operations[],15,FALSE)*C18,2)))</f>
        <v/>
      </c>
      <c r="I18" s="208">
        <f>IF(B18=0,0,IF(C18&gt;9999,"",ROUND(VLOOKUP(VLOOKUP(B18,Operations[],11,FALSE),PowerUnits[],16,FALSE)/VLOOKUP(B18,Operations[],9,FALSE)*C18,2)))</f>
        <v>0</v>
      </c>
      <c r="J18" s="208" t="str">
        <f>IF(B18=0,"",IF(C18&gt;9999,"",ROUND(VLOOKUP($B18,Operations[],21,FALSE)*$C18,2)))</f>
        <v/>
      </c>
      <c r="K18" s="208">
        <f t="shared" si="0"/>
        <v>0</v>
      </c>
      <c r="L18" s="210"/>
    </row>
    <row r="19" spans="1:12" x14ac:dyDescent="0.2">
      <c r="A19" s="287">
        <v>10</v>
      </c>
      <c r="B19" s="261"/>
      <c r="C19" s="257"/>
      <c r="D19" s="263"/>
      <c r="E19" s="208" t="str">
        <f>IF(B19=0,"",IF(C19&gt;9999,"",ROUND('General Variables'!$B$4*VLOOKUP(B19,Operations[],10,FALSE)/VLOOKUP(B19,Operations[],9,FALSE)*C19,2)))</f>
        <v/>
      </c>
      <c r="F19" s="208">
        <f>IF(B19=0,0,IF(C19&gt;9999,"",ROUND(IF(VLOOKUP(B19,Operations[],12,FALSE)=0,VLOOKUP(B19,Operations[],13,FALSE)*'General Variables'!$B$8,VLOOKUP(B19,Operations[],12,FALSE)*'General Variables'!$B$7)/VLOOKUP(B19,Operations[],9,FALSE)*C19,2)))</f>
        <v>0</v>
      </c>
      <c r="G19" s="208">
        <f>IF(B19=0,0,IF(C19&gt;9999,"",ROUND(VLOOKUP(VLOOKUP(B19,Operations[],11,FALSE),PowerUnits[],10,FALSE)/VLOOKUP(B19,Operations[],9,FALSE)*C19,2)))</f>
        <v>0</v>
      </c>
      <c r="H19" s="208" t="str">
        <f>IF(B19=0,"",IF(C19&gt;9999,"",ROUND(VLOOKUP($B19,Operations[],15,FALSE)*C19,2)))</f>
        <v/>
      </c>
      <c r="I19" s="208">
        <f>IF(B19=0,0,IF(C19&gt;9999,"",ROUND(VLOOKUP(VLOOKUP(B19,Operations[],11,FALSE),PowerUnits[],16,FALSE)/VLOOKUP(B19,Operations[],9,FALSE)*C19,2)))</f>
        <v>0</v>
      </c>
      <c r="J19" s="208" t="str">
        <f>IF(B19=0,"",IF(C19&gt;9999,"",ROUND(VLOOKUP($B19,Operations[],21,FALSE)*$C19,2)))</f>
        <v/>
      </c>
      <c r="K19" s="208">
        <f t="shared" si="0"/>
        <v>0</v>
      </c>
      <c r="L19" s="210"/>
    </row>
    <row r="20" spans="1:12" x14ac:dyDescent="0.2">
      <c r="A20" s="287">
        <v>11</v>
      </c>
      <c r="B20" s="261"/>
      <c r="C20" s="257"/>
      <c r="D20" s="263"/>
      <c r="E20" s="208" t="str">
        <f>IF(B20=0,"",IF(C20&gt;9999,"",ROUND('General Variables'!$B$4*VLOOKUP(B20,Operations[],10,FALSE)/VLOOKUP(B20,Operations[],9,FALSE)*C20,2)))</f>
        <v/>
      </c>
      <c r="F20" s="208">
        <f>IF(B20=0,0,IF(C20&gt;9999,"",ROUND(IF(VLOOKUP(B20,Operations[],12,FALSE)=0,VLOOKUP(B20,Operations[],13,FALSE)*'General Variables'!$B$8,VLOOKUP(B20,Operations[],12,FALSE)*'General Variables'!$B$7)/VLOOKUP(B20,Operations[],9,FALSE)*C20,2)))</f>
        <v>0</v>
      </c>
      <c r="G20" s="208">
        <f>IF(B20=0,0,IF(C20&gt;9999,"",ROUND(VLOOKUP(VLOOKUP(B20,Operations[],11,FALSE),PowerUnits[],10,FALSE)/VLOOKUP(B20,Operations[],9,FALSE)*C20,2)))</f>
        <v>0</v>
      </c>
      <c r="H20" s="208" t="str">
        <f>IF(B20=0,"",IF(C20&gt;9999,"",ROUND(VLOOKUP($B20,Operations[],15,FALSE)*C20,2)))</f>
        <v/>
      </c>
      <c r="I20" s="208">
        <f>IF(B20=0,0,IF(C20&gt;9999,"",ROUND(VLOOKUP(VLOOKUP(B20,Operations[],11,FALSE),PowerUnits[],16,FALSE)/VLOOKUP(B20,Operations[],9,FALSE)*C20,2)))</f>
        <v>0</v>
      </c>
      <c r="J20" s="208" t="str">
        <f>IF(B20=0,"",IF(C20&gt;9999,"",ROUND(VLOOKUP($B20,Operations[],21,FALSE)*$C20,2)))</f>
        <v/>
      </c>
      <c r="K20" s="208">
        <f t="shared" si="0"/>
        <v>0</v>
      </c>
      <c r="L20" s="210"/>
    </row>
    <row r="21" spans="1:12" x14ac:dyDescent="0.2">
      <c r="A21" s="287">
        <v>12</v>
      </c>
      <c r="B21" s="261"/>
      <c r="C21" s="257"/>
      <c r="D21" s="263"/>
      <c r="E21" s="208" t="str">
        <f>IF(B21=0,"",IF(C21&gt;9999,"",ROUND('General Variables'!$B$4*VLOOKUP(B21,Operations[],10,FALSE)/VLOOKUP(B21,Operations[],9,FALSE)*C21,2)))</f>
        <v/>
      </c>
      <c r="F21" s="208">
        <f>IF(B21=0,0,IF(C21&gt;9999,"",ROUND(IF(VLOOKUP(B21,Operations[],12,FALSE)=0,VLOOKUP(B21,Operations[],13,FALSE)*'General Variables'!$B$8,VLOOKUP(B21,Operations[],12,FALSE)*'General Variables'!$B$7)/VLOOKUP(B21,Operations[],9,FALSE)*C21,2)))</f>
        <v>0</v>
      </c>
      <c r="G21" s="208">
        <f>IF(B21=0,0,IF(C21&gt;9999,"",ROUND(VLOOKUP(VLOOKUP(B21,Operations[],11,FALSE),PowerUnits[],10,FALSE)/VLOOKUP(B21,Operations[],9,FALSE)*C21,2)))</f>
        <v>0</v>
      </c>
      <c r="H21" s="208" t="str">
        <f>IF(B21=0,"",IF(C21&gt;9999,"",ROUND(VLOOKUP($B21,Operations[],15,FALSE)*C21,2)))</f>
        <v/>
      </c>
      <c r="I21" s="208">
        <f>IF(B21=0,0,IF(C21&gt;9999,"",ROUND(VLOOKUP(VLOOKUP(B21,Operations[],11,FALSE),PowerUnits[],16,FALSE)/VLOOKUP(B21,Operations[],9,FALSE)*C21,2)))</f>
        <v>0</v>
      </c>
      <c r="J21" s="208" t="str">
        <f>IF(B21=0,"",IF(C21&gt;9999,"",ROUND(VLOOKUP($B21,Operations[],21,FALSE)*$C21,2)))</f>
        <v/>
      </c>
      <c r="K21" s="208">
        <f t="shared" si="0"/>
        <v>0</v>
      </c>
      <c r="L21" s="210"/>
    </row>
    <row r="22" spans="1:12" x14ac:dyDescent="0.2">
      <c r="A22" s="287">
        <v>13</v>
      </c>
      <c r="B22" s="261"/>
      <c r="C22" s="257"/>
      <c r="D22" s="263"/>
      <c r="E22" s="208" t="str">
        <f>IF(B22=0,"",IF(C22&gt;9999,"",ROUND('General Variables'!$B$4*VLOOKUP(B22,Operations[],10,FALSE)/VLOOKUP(B22,Operations[],9,FALSE)*C22,2)))</f>
        <v/>
      </c>
      <c r="F22" s="208">
        <f>IF(B22=0,0,IF(C22&gt;9999,"",ROUND(IF(VLOOKUP(B22,Operations[],12,FALSE)=0,VLOOKUP(B22,Operations[],13,FALSE)*'General Variables'!$B$8,VLOOKUP(B22,Operations[],12,FALSE)*'General Variables'!$B$7)/VLOOKUP(B22,Operations[],9,FALSE)*C22,2)))</f>
        <v>0</v>
      </c>
      <c r="G22" s="208">
        <f>IF(B22=0,0,IF(C22&gt;9999,"",ROUND(VLOOKUP(VLOOKUP(B22,Operations[],11,FALSE),PowerUnits[],10,FALSE)/VLOOKUP(B22,Operations[],9,FALSE)*C22,2)))</f>
        <v>0</v>
      </c>
      <c r="H22" s="208" t="str">
        <f>IF(B22=0,"",IF(C22&gt;9999,"",ROUND(VLOOKUP($B22,Operations[],15,FALSE)*C22,2)))</f>
        <v/>
      </c>
      <c r="I22" s="208">
        <f>IF(B22=0,0,IF(C22&gt;9999,"",ROUND(VLOOKUP(VLOOKUP(B22,Operations[],11,FALSE),PowerUnits[],16,FALSE)/VLOOKUP(B22,Operations[],9,FALSE)*C22,2)))</f>
        <v>0</v>
      </c>
      <c r="J22" s="208" t="str">
        <f>IF(B22=0,"",IF(C22&gt;9999,"",ROUND(VLOOKUP($B22,Operations[],21,FALSE)*$C22,2)))</f>
        <v/>
      </c>
      <c r="K22" s="208">
        <f t="shared" si="0"/>
        <v>0</v>
      </c>
      <c r="L22" s="210"/>
    </row>
    <row r="23" spans="1:12" x14ac:dyDescent="0.2">
      <c r="A23" s="287">
        <v>14</v>
      </c>
      <c r="B23" s="262"/>
      <c r="C23" s="258"/>
      <c r="D23" s="263"/>
      <c r="E23" s="208" t="str">
        <f>IF(B23=0,"",IF(C23&gt;9999,"",ROUND('General Variables'!$B$4*VLOOKUP(B23,Operations[],10,FALSE)/VLOOKUP(B23,Operations[],9,FALSE)*C23,2)))</f>
        <v/>
      </c>
      <c r="F23" s="208">
        <f>IF(B23=0,0,IF(C23&gt;9999,"",ROUND(IF(VLOOKUP(B23,Operations[],12,FALSE)=0,VLOOKUP(B23,Operations[],13,FALSE)*'General Variables'!$B$8,VLOOKUP(B23,Operations[],12,FALSE)*'General Variables'!$B$7)/VLOOKUP(B23,Operations[],9,FALSE)*C23,2)))</f>
        <v>0</v>
      </c>
      <c r="G23" s="208">
        <f>IF(B23=0,0,IF(C23&gt;9999,"",ROUND(VLOOKUP(VLOOKUP(B23,Operations[],11,FALSE),PowerUnits[],10,FALSE)/VLOOKUP(B23,Operations[],9,FALSE)*C23,2)))</f>
        <v>0</v>
      </c>
      <c r="H23" s="208" t="str">
        <f>IF(B23=0,"",IF(C23&gt;9999,"",ROUND(VLOOKUP($B23,Operations[],15,FALSE)*C23,2)))</f>
        <v/>
      </c>
      <c r="I23" s="208">
        <f>IF(B23=0,0,IF(C23&gt;9999,"",ROUND(VLOOKUP(VLOOKUP(B23,Operations[],11,FALSE),PowerUnits[],16,FALSE)/VLOOKUP(B23,Operations[],9,FALSE)*C23,2)))</f>
        <v>0</v>
      </c>
      <c r="J23" s="208" t="str">
        <f>IF(B23=0,"",IF(C23&gt;9999,"",ROUND(VLOOKUP($B23,Operations[],21,FALSE)*$C23,2)))</f>
        <v/>
      </c>
      <c r="K23" s="208">
        <f t="shared" si="0"/>
        <v>0</v>
      </c>
      <c r="L23" s="210"/>
    </row>
    <row r="24" spans="1:12" x14ac:dyDescent="0.2">
      <c r="A24" s="287">
        <v>15</v>
      </c>
      <c r="B24" s="262"/>
      <c r="C24" s="258"/>
      <c r="D24" s="263"/>
      <c r="E24" s="208" t="str">
        <f>IF(B24=0,"",IF(C24&gt;9999,"",ROUND('General Variables'!$B$4*VLOOKUP(B24,Operations[],10,FALSE)/VLOOKUP(B24,Operations[],9,FALSE)*C24,2)))</f>
        <v/>
      </c>
      <c r="F24" s="208">
        <f>IF(B24=0,0,IF(C24&gt;9999,"",ROUND(IF(VLOOKUP(B24,Operations[],12,FALSE)=0,VLOOKUP(B24,Operations[],13,FALSE)*'General Variables'!$B$8,VLOOKUP(B24,Operations[],12,FALSE)*'General Variables'!$B$7)/VLOOKUP(B24,Operations[],9,FALSE)*C24,2)))</f>
        <v>0</v>
      </c>
      <c r="G24" s="208">
        <f>IF(B24=0,0,IF(C24&gt;9999,"",ROUND(VLOOKUP(VLOOKUP(B24,Operations[],11,FALSE),PowerUnits[],10,FALSE)/VLOOKUP(B24,Operations[],9,FALSE)*C24,2)))</f>
        <v>0</v>
      </c>
      <c r="H24" s="208" t="str">
        <f>IF(B24=0,"",IF(C24&gt;9999,"",ROUND(VLOOKUP($B24,Operations[],15,FALSE)*C24,2)))</f>
        <v/>
      </c>
      <c r="I24" s="208">
        <f>IF(B24=0,0,IF(C24&gt;9999,"",ROUND(VLOOKUP(VLOOKUP(B24,Operations[],11,FALSE),PowerUnits[],16,FALSE)/VLOOKUP(B24,Operations[],9,FALSE)*C24,2)))</f>
        <v>0</v>
      </c>
      <c r="J24" s="208" t="str">
        <f>IF(B24=0,"",IF(C24&gt;9999,"",ROUND(VLOOKUP($B24,Operations[],21,FALSE)*$C24,2)))</f>
        <v/>
      </c>
      <c r="K24" s="208">
        <f t="shared" si="0"/>
        <v>0</v>
      </c>
      <c r="L24" s="210"/>
    </row>
    <row r="25" spans="1:12" x14ac:dyDescent="0.2">
      <c r="A25" s="287">
        <v>16</v>
      </c>
      <c r="B25" s="262"/>
      <c r="C25" s="258"/>
      <c r="D25" s="263"/>
      <c r="E25" s="208" t="str">
        <f>IF(B25=0,"",IF(C25&gt;9999,"",ROUND('General Variables'!$B$4*VLOOKUP(B25,Operations[],10,FALSE)/VLOOKUP(B25,Operations[],9,FALSE)*C25,2)))</f>
        <v/>
      </c>
      <c r="F25" s="208">
        <f>IF(B25=0,0,IF(C25&gt;9999,"",ROUND(IF(VLOOKUP(B25,Operations[],12,FALSE)=0,VLOOKUP(B25,Operations[],13,FALSE)*'General Variables'!$B$8,VLOOKUP(B25,Operations[],12,FALSE)*'General Variables'!$B$7)/VLOOKUP(B25,Operations[],9,FALSE)*C25,2)))</f>
        <v>0</v>
      </c>
      <c r="G25" s="208">
        <f>IF(B25=0,0,IF(C25&gt;9999,"",ROUND(VLOOKUP(VLOOKUP(B25,Operations[],11,FALSE),PowerUnits[],10,FALSE)/VLOOKUP(B25,Operations[],9,FALSE)*C25,2)))</f>
        <v>0</v>
      </c>
      <c r="H25" s="208" t="str">
        <f>IF(B25=0,"",IF(C25&gt;9999,"",ROUND(VLOOKUP($B25,Operations[],15,FALSE)*C25,2)))</f>
        <v/>
      </c>
      <c r="I25" s="208">
        <f>IF(B25=0,0,IF(C25&gt;9999,"",ROUND(VLOOKUP(VLOOKUP(B25,Operations[],11,FALSE),PowerUnits[],16,FALSE)/VLOOKUP(B25,Operations[],9,FALSE)*C25,2)))</f>
        <v>0</v>
      </c>
      <c r="J25" s="208" t="str">
        <f>IF(B25=0,"",IF(C25&gt;9999,"",ROUND(VLOOKUP($B25,Operations[],21,FALSE)*$C25,2)))</f>
        <v/>
      </c>
      <c r="K25" s="208">
        <f t="shared" si="0"/>
        <v>0</v>
      </c>
      <c r="L25" s="210"/>
    </row>
    <row r="26" spans="1:12" x14ac:dyDescent="0.2">
      <c r="A26" s="287">
        <v>17</v>
      </c>
      <c r="B26" s="262"/>
      <c r="C26" s="258"/>
      <c r="D26" s="263"/>
      <c r="E26" s="208" t="str">
        <f>IF(B26=0,"",IF(C26&gt;9999,"",ROUND('General Variables'!$B$4*VLOOKUP(B26,Operations[],10,FALSE)/VLOOKUP(B26,Operations[],9,FALSE)*C26,2)))</f>
        <v/>
      </c>
      <c r="F26" s="208">
        <f>IF(B26=0,0,IF(C26&gt;9999,"",ROUND(IF(VLOOKUP(B26,Operations[],12,FALSE)=0,VLOOKUP(B26,Operations[],13,FALSE)*'General Variables'!$B$8,VLOOKUP(B26,Operations[],12,FALSE)*'General Variables'!$B$7)/VLOOKUP(B26,Operations[],9,FALSE)*C26,2)))</f>
        <v>0</v>
      </c>
      <c r="G26" s="208">
        <f>IF(B26=0,0,IF(C26&gt;9999,"",ROUND(VLOOKUP(VLOOKUP(B26,Operations[],11,FALSE),PowerUnits[],10,FALSE)/VLOOKUP(B26,Operations[],9,FALSE)*C26,2)))</f>
        <v>0</v>
      </c>
      <c r="H26" s="208" t="str">
        <f>IF(B26=0,"",IF(C26&gt;9999,"",ROUND(VLOOKUP($B26,Operations[],15,FALSE)*C26,2)))</f>
        <v/>
      </c>
      <c r="I26" s="208">
        <f>IF(B26=0,0,IF(C26&gt;9999,"",ROUND(VLOOKUP(VLOOKUP(B26,Operations[],11,FALSE),PowerUnits[],16,FALSE)/VLOOKUP(B26,Operations[],9,FALSE)*C26,2)))</f>
        <v>0</v>
      </c>
      <c r="J26" s="208" t="str">
        <f>IF(B26=0,"",IF(C26&gt;9999,"",ROUND(VLOOKUP($B26,Operations[],21,FALSE)*$C26,2)))</f>
        <v/>
      </c>
      <c r="K26" s="208">
        <f t="shared" si="0"/>
        <v>0</v>
      </c>
      <c r="L26" s="210"/>
    </row>
    <row r="27" spans="1:12" x14ac:dyDescent="0.2">
      <c r="A27" s="287">
        <v>18</v>
      </c>
      <c r="B27" s="262"/>
      <c r="C27" s="258"/>
      <c r="D27" s="263"/>
      <c r="E27" s="208" t="str">
        <f>IF(B27=0,"",IF(C27&gt;9999,"",ROUND('General Variables'!$B$4*VLOOKUP(B27,Operations[],10,FALSE)/VLOOKUP(B27,Operations[],9,FALSE)*C27,2)))</f>
        <v/>
      </c>
      <c r="F27" s="208">
        <f>IF(B27=0,0,IF(C27&gt;9999,"",ROUND(IF(VLOOKUP(B27,Operations[],12,FALSE)=0,VLOOKUP(B27,Operations[],13,FALSE)*'General Variables'!$B$8,VLOOKUP(B27,Operations[],12,FALSE)*'General Variables'!$B$7)/VLOOKUP(B27,Operations[],9,FALSE)*C27,2)))</f>
        <v>0</v>
      </c>
      <c r="G27" s="208">
        <f>IF(B27=0,0,IF(C27&gt;9999,"",ROUND(VLOOKUP(VLOOKUP(B27,Operations[],11,FALSE),PowerUnits[],10,FALSE)/VLOOKUP(B27,Operations[],9,FALSE)*C27,2)))</f>
        <v>0</v>
      </c>
      <c r="H27" s="208" t="str">
        <f>IF(B27=0,"",IF(C27&gt;9999,"",ROUND(VLOOKUP($B27,Operations[],15,FALSE)*C27,2)))</f>
        <v/>
      </c>
      <c r="I27" s="208">
        <f>IF(B27=0,0,IF(C27&gt;9999,"",ROUND(VLOOKUP(VLOOKUP(B27,Operations[],11,FALSE),PowerUnits[],16,FALSE)/VLOOKUP(B27,Operations[],9,FALSE)*C27,2)))</f>
        <v>0</v>
      </c>
      <c r="J27" s="208" t="str">
        <f>IF(B27=0,"",IF(C27&gt;9999,"",ROUND(VLOOKUP($B27,Operations[],21,FALSE)*$C27,2)))</f>
        <v/>
      </c>
      <c r="K27" s="208">
        <f t="shared" si="0"/>
        <v>0</v>
      </c>
      <c r="L27" s="210"/>
    </row>
    <row r="28" spans="1:12" x14ac:dyDescent="0.2">
      <c r="A28" s="287">
        <v>19</v>
      </c>
      <c r="B28" s="262"/>
      <c r="C28" s="258"/>
      <c r="D28" s="263"/>
      <c r="E28" s="208" t="str">
        <f>IF(B28=0,"",IF(C28&gt;9999,"",ROUND('General Variables'!$B$4*VLOOKUP(B28,Operations[],10,FALSE)/VLOOKUP(B28,Operations[],9,FALSE)*C28,2)))</f>
        <v/>
      </c>
      <c r="F28" s="208">
        <f>IF(B28=0,0,IF(C28&gt;9999,"",ROUND(IF(VLOOKUP(B28,Operations[],12,FALSE)=0,VLOOKUP(B28,Operations[],13,FALSE)*'General Variables'!$B$8,VLOOKUP(B28,Operations[],12,FALSE)*'General Variables'!$B$7)/VLOOKUP(B28,Operations[],9,FALSE)*C28,2)))</f>
        <v>0</v>
      </c>
      <c r="G28" s="208">
        <f>IF(B28=0,0,IF(C28&gt;9999,"",ROUND(VLOOKUP(VLOOKUP(B28,Operations[],11,FALSE),PowerUnits[],10,FALSE)/VLOOKUP(B28,Operations[],9,FALSE)*C28,2)))</f>
        <v>0</v>
      </c>
      <c r="H28" s="208" t="str">
        <f>IF(B28=0,"",IF(C28&gt;9999,"",ROUND(VLOOKUP($B28,Operations[],15,FALSE)*C28,2)))</f>
        <v/>
      </c>
      <c r="I28" s="208">
        <f>IF(B28=0,0,IF(C28&gt;9999,"",ROUND(VLOOKUP(VLOOKUP(B28,Operations[],11,FALSE),PowerUnits[],16,FALSE)/VLOOKUP(B28,Operations[],9,FALSE)*C28,2)))</f>
        <v>0</v>
      </c>
      <c r="J28" s="208" t="str">
        <f>IF(B28=0,"",IF(C28&gt;9999,"",ROUND(VLOOKUP($B28,Operations[],21,FALSE)*$C28,2)))</f>
        <v/>
      </c>
      <c r="K28" s="208">
        <f t="shared" si="0"/>
        <v>0</v>
      </c>
      <c r="L28" s="228"/>
    </row>
    <row r="29" spans="1:12" x14ac:dyDescent="0.2">
      <c r="A29" s="287">
        <v>20</v>
      </c>
      <c r="B29" s="262"/>
      <c r="C29" s="258"/>
      <c r="D29" s="263"/>
      <c r="E29" s="208" t="str">
        <f>IF(B29=0,"",IF(C29&gt;9999,"",ROUND('General Variables'!$B$4*VLOOKUP(B29,Operations[],10,FALSE)/VLOOKUP(B29,Operations[],9,FALSE)*C29,2)))</f>
        <v/>
      </c>
      <c r="F29" s="208">
        <f>IF(B29=0,0,IF(C29&gt;9999,"",ROUND(IF(VLOOKUP(B29,Operations[],12,FALSE)=0,VLOOKUP(B29,Operations[],13,FALSE)*'General Variables'!$B$8,VLOOKUP(B29,Operations[],12,FALSE)*'General Variables'!$B$7)/VLOOKUP(B29,Operations[],9,FALSE)*C29,2)))</f>
        <v>0</v>
      </c>
      <c r="G29" s="208">
        <f>IF(B29=0,0,IF(C29&gt;9999,"",ROUND(VLOOKUP(VLOOKUP(B29,Operations[],11,FALSE),PowerUnits[],10,FALSE)/VLOOKUP(B29,Operations[],9,FALSE)*C29,2)))</f>
        <v>0</v>
      </c>
      <c r="H29" s="208" t="str">
        <f>IF(B29=0,"",IF(C29&gt;9999,"",ROUND(VLOOKUP($B29,Operations[],15,FALSE)*C29,2)))</f>
        <v/>
      </c>
      <c r="I29" s="208">
        <f>IF(B29=0,0,IF(C29&gt;9999,"",ROUND(VLOOKUP(VLOOKUP(B29,Operations[],11,FALSE),PowerUnits[],16,FALSE)/VLOOKUP(B29,Operations[],9,FALSE)*C29,2)))</f>
        <v>0</v>
      </c>
      <c r="J29" s="208" t="str">
        <f>IF(B29=0,"",IF(C29&gt;9999,"",ROUND(VLOOKUP($B29,Operations[],21,FALSE)*$C29,2)))</f>
        <v/>
      </c>
      <c r="K29" s="208">
        <f t="shared" si="0"/>
        <v>0</v>
      </c>
      <c r="L29" s="252"/>
    </row>
    <row r="30" spans="1:12" ht="3" customHeight="1" thickBot="1" x14ac:dyDescent="0.25">
      <c r="A30" s="287"/>
      <c r="B30" s="229"/>
      <c r="C30" s="230"/>
      <c r="D30" s="230"/>
      <c r="E30" s="202"/>
      <c r="F30" s="202"/>
      <c r="G30" s="202"/>
      <c r="H30" s="202"/>
      <c r="I30" s="202"/>
      <c r="J30" s="202"/>
      <c r="K30" s="202"/>
      <c r="L30" s="226"/>
    </row>
    <row r="31" spans="1:12" ht="13.5" thickTop="1" x14ac:dyDescent="0.2">
      <c r="C31" s="199" t="s">
        <v>83</v>
      </c>
      <c r="D31" s="199"/>
      <c r="E31" s="238">
        <f>SUM(E10:E29)</f>
        <v>0</v>
      </c>
      <c r="F31" s="238">
        <f t="shared" ref="F31:K31" si="1">SUM(F10:F29)</f>
        <v>0</v>
      </c>
      <c r="G31" s="238">
        <f t="shared" si="1"/>
        <v>0</v>
      </c>
      <c r="H31" s="238">
        <f t="shared" si="1"/>
        <v>0</v>
      </c>
      <c r="I31" s="238">
        <f t="shared" si="1"/>
        <v>0</v>
      </c>
      <c r="J31" s="238">
        <f t="shared" si="1"/>
        <v>0</v>
      </c>
      <c r="K31" s="238">
        <f t="shared" si="1"/>
        <v>0</v>
      </c>
      <c r="L31" s="210"/>
    </row>
    <row r="33" spans="1:12" ht="24" customHeight="1" thickBot="1" x14ac:dyDescent="0.25">
      <c r="B33" s="252"/>
      <c r="C33" s="252"/>
      <c r="D33" s="252"/>
      <c r="E33" s="252"/>
      <c r="F33" s="309" t="s">
        <v>97</v>
      </c>
      <c r="G33" s="309" t="s">
        <v>94</v>
      </c>
      <c r="H33" s="310" t="s">
        <v>98</v>
      </c>
      <c r="I33" s="310"/>
      <c r="J33" s="309" t="s">
        <v>69</v>
      </c>
      <c r="L33" s="310" t="s">
        <v>400</v>
      </c>
    </row>
    <row r="34" spans="1:12" s="201" customFormat="1" ht="14.25" thickTop="1" thickBot="1" x14ac:dyDescent="0.25">
      <c r="B34" s="200" t="s">
        <v>93</v>
      </c>
      <c r="C34" s="285"/>
      <c r="D34" s="285"/>
      <c r="E34" s="285"/>
      <c r="F34" s="309"/>
      <c r="G34" s="309"/>
      <c r="H34" s="285" t="s">
        <v>99</v>
      </c>
      <c r="I34" s="285" t="s">
        <v>77</v>
      </c>
      <c r="J34" s="309"/>
      <c r="K34" s="285" t="s">
        <v>95</v>
      </c>
      <c r="L34" s="309"/>
    </row>
    <row r="35" spans="1:12" ht="13.5" thickTop="1" x14ac:dyDescent="0.2">
      <c r="A35" s="209"/>
      <c r="B35" s="261"/>
      <c r="C35" s="307" t="str">
        <f>IF(B35=0,"",VLOOKUP($B35,Materials[],2,FALSE))</f>
        <v/>
      </c>
      <c r="D35" s="307"/>
      <c r="E35" s="307"/>
      <c r="F35" s="257"/>
      <c r="G35" s="259"/>
      <c r="H35" s="278"/>
      <c r="I35" s="203" t="str">
        <f>IF($B35=0,"",VLOOKUP($B35,Materials[],5,FALSE))</f>
        <v/>
      </c>
      <c r="J35" s="205" t="str">
        <f>IF($B35=0,"",VLOOKUP($B35,Materials[],7,FALSE))</f>
        <v/>
      </c>
      <c r="K35" s="238">
        <f>IF(B35=0,0,ROUND(G35*H35*J35,2))</f>
        <v>0</v>
      </c>
      <c r="L35" s="210"/>
    </row>
    <row r="36" spans="1:12" x14ac:dyDescent="0.2">
      <c r="A36" s="209"/>
      <c r="B36" s="261"/>
      <c r="C36" s="307" t="str">
        <f>IF(B36=0,"",VLOOKUP($B36,Materials[],2,FALSE))</f>
        <v/>
      </c>
      <c r="D36" s="307"/>
      <c r="E36" s="307"/>
      <c r="F36" s="257"/>
      <c r="G36" s="259"/>
      <c r="H36" s="278"/>
      <c r="I36" s="203" t="str">
        <f>IF($B36=0,"",VLOOKUP($B36,Materials[],5,FALSE))</f>
        <v/>
      </c>
      <c r="J36" s="205" t="str">
        <f>IF($B36=0,"",VLOOKUP($B36,Materials[],7,FALSE))</f>
        <v/>
      </c>
      <c r="K36" s="238">
        <f t="shared" ref="K36:K53" si="2">IF(B36=0,0,ROUND(G36*H36*J36,2))</f>
        <v>0</v>
      </c>
      <c r="L36" s="210"/>
    </row>
    <row r="37" spans="1:12" x14ac:dyDescent="0.2">
      <c r="A37" s="209"/>
      <c r="B37" s="261"/>
      <c r="C37" s="307" t="str">
        <f>IF(B37=0,"",VLOOKUP($B37,Materials[],2,FALSE))</f>
        <v/>
      </c>
      <c r="D37" s="307"/>
      <c r="E37" s="307"/>
      <c r="F37" s="257"/>
      <c r="G37" s="259"/>
      <c r="H37" s="278"/>
      <c r="I37" s="203" t="str">
        <f>IF($B37=0,"",VLOOKUP($B37,Materials[],5,FALSE))</f>
        <v/>
      </c>
      <c r="J37" s="205" t="str">
        <f>IF($B37=0,"",VLOOKUP($B37,Materials[],7,FALSE))</f>
        <v/>
      </c>
      <c r="K37" s="238">
        <f t="shared" si="2"/>
        <v>0</v>
      </c>
      <c r="L37" s="210"/>
    </row>
    <row r="38" spans="1:12" x14ac:dyDescent="0.2">
      <c r="A38" s="209"/>
      <c r="B38" s="261"/>
      <c r="C38" s="307" t="str">
        <f>IF(B38=0,"",VLOOKUP($B38,Materials[],2,FALSE))</f>
        <v/>
      </c>
      <c r="D38" s="307"/>
      <c r="E38" s="307"/>
      <c r="F38" s="257"/>
      <c r="G38" s="259"/>
      <c r="H38" s="278"/>
      <c r="I38" s="203" t="str">
        <f>IF($B38=0,"",VLOOKUP($B38,Materials[],5,FALSE))</f>
        <v/>
      </c>
      <c r="J38" s="205" t="str">
        <f>IF($B38=0,"",VLOOKUP($B38,Materials[],7,FALSE))</f>
        <v/>
      </c>
      <c r="K38" s="238">
        <f t="shared" si="2"/>
        <v>0</v>
      </c>
      <c r="L38" s="210"/>
    </row>
    <row r="39" spans="1:12" x14ac:dyDescent="0.2">
      <c r="A39" s="209"/>
      <c r="B39" s="261"/>
      <c r="C39" s="307" t="str">
        <f>IF(B39=0,"",VLOOKUP($B39,Materials[],2,FALSE))</f>
        <v/>
      </c>
      <c r="D39" s="307"/>
      <c r="E39" s="307"/>
      <c r="F39" s="257"/>
      <c r="G39" s="259"/>
      <c r="H39" s="279"/>
      <c r="I39" s="203" t="str">
        <f>IF($B39=0,"",VLOOKUP($B39,Materials[],5,FALSE))</f>
        <v/>
      </c>
      <c r="J39" s="205" t="str">
        <f>IF($B39=0,"",VLOOKUP($B39,Materials[],7,FALSE))</f>
        <v/>
      </c>
      <c r="K39" s="238">
        <f t="shared" si="2"/>
        <v>0</v>
      </c>
      <c r="L39" s="210"/>
    </row>
    <row r="40" spans="1:12" x14ac:dyDescent="0.2">
      <c r="A40" s="209"/>
      <c r="B40" s="261"/>
      <c r="C40" s="307" t="str">
        <f>IF(B40=0,"",VLOOKUP($B40,Materials[],2,FALSE))</f>
        <v/>
      </c>
      <c r="D40" s="307"/>
      <c r="E40" s="307"/>
      <c r="F40" s="257"/>
      <c r="G40" s="259"/>
      <c r="H40" s="279"/>
      <c r="I40" s="203" t="str">
        <f>IF($B40=0,"",VLOOKUP($B40,Materials[],5,FALSE))</f>
        <v/>
      </c>
      <c r="J40" s="205" t="str">
        <f>IF($B40=0,"",VLOOKUP($B40,Materials[],7,FALSE))</f>
        <v/>
      </c>
      <c r="K40" s="238">
        <f t="shared" si="2"/>
        <v>0</v>
      </c>
      <c r="L40" s="210"/>
    </row>
    <row r="41" spans="1:12" x14ac:dyDescent="0.2">
      <c r="A41" s="220"/>
      <c r="B41" s="261"/>
      <c r="C41" s="307" t="str">
        <f>IF(B41=0,"",VLOOKUP($B41,Materials[],2,FALSE))</f>
        <v/>
      </c>
      <c r="D41" s="307"/>
      <c r="E41" s="307"/>
      <c r="F41" s="257"/>
      <c r="G41" s="259"/>
      <c r="H41" s="278"/>
      <c r="I41" s="203" t="str">
        <f>IF($B41=0,"",VLOOKUP($B41,Materials[],5,FALSE))</f>
        <v/>
      </c>
      <c r="J41" s="205" t="str">
        <f>IF($B41=0,"",VLOOKUP($B41,Materials[],7,FALSE))</f>
        <v/>
      </c>
      <c r="K41" s="238">
        <f t="shared" si="2"/>
        <v>0</v>
      </c>
      <c r="L41" s="210"/>
    </row>
    <row r="42" spans="1:12" x14ac:dyDescent="0.2">
      <c r="A42" s="220"/>
      <c r="B42" s="261"/>
      <c r="C42" s="307" t="str">
        <f>IF(B42=0,"",VLOOKUP($B42,Materials[],2,FALSE))</f>
        <v/>
      </c>
      <c r="D42" s="307"/>
      <c r="E42" s="307"/>
      <c r="F42" s="257"/>
      <c r="G42" s="259"/>
      <c r="H42" s="278"/>
      <c r="I42" s="203" t="str">
        <f>IF($B42=0,"",VLOOKUP($B42,Materials[],5,FALSE))</f>
        <v/>
      </c>
      <c r="J42" s="205" t="str">
        <f>IF($B42=0,"",VLOOKUP($B42,Materials[],7,FALSE))</f>
        <v/>
      </c>
      <c r="K42" s="238">
        <f t="shared" si="2"/>
        <v>0</v>
      </c>
      <c r="L42" s="210"/>
    </row>
    <row r="43" spans="1:12" x14ac:dyDescent="0.2">
      <c r="A43" s="220"/>
      <c r="B43" s="261"/>
      <c r="C43" s="307" t="str">
        <f>IF(B43=0,"",VLOOKUP($B43,Materials[],2,FALSE))</f>
        <v/>
      </c>
      <c r="D43" s="307"/>
      <c r="E43" s="307"/>
      <c r="F43" s="257"/>
      <c r="G43" s="259"/>
      <c r="H43" s="278"/>
      <c r="I43" s="203" t="str">
        <f>IF($B43=0,"",VLOOKUP($B43,Materials[],5,FALSE))</f>
        <v/>
      </c>
      <c r="J43" s="205" t="str">
        <f>IF($B43=0,"",VLOOKUP($B43,Materials[],7,FALSE))</f>
        <v/>
      </c>
      <c r="K43" s="238">
        <f t="shared" si="2"/>
        <v>0</v>
      </c>
      <c r="L43" s="210"/>
    </row>
    <row r="44" spans="1:12" x14ac:dyDescent="0.2">
      <c r="A44" s="220"/>
      <c r="B44" s="261"/>
      <c r="C44" s="307" t="str">
        <f>IF(B44=0,"",VLOOKUP($B44,Materials[],2,FALSE))</f>
        <v/>
      </c>
      <c r="D44" s="307"/>
      <c r="E44" s="307"/>
      <c r="F44" s="257"/>
      <c r="G44" s="259"/>
      <c r="H44" s="278"/>
      <c r="I44" s="203" t="str">
        <f>IF($B44=0,"",VLOOKUP($B44,Materials[],5,FALSE))</f>
        <v/>
      </c>
      <c r="J44" s="205" t="str">
        <f>IF($B44=0,"",VLOOKUP($B44,Materials[],7,FALSE))</f>
        <v/>
      </c>
      <c r="K44" s="238">
        <f t="shared" si="2"/>
        <v>0</v>
      </c>
      <c r="L44" s="210"/>
    </row>
    <row r="45" spans="1:12" x14ac:dyDescent="0.2">
      <c r="A45" s="220"/>
      <c r="B45" s="261"/>
      <c r="C45" s="307" t="str">
        <f>IF(B45=0,"",VLOOKUP($B45,Materials[],2,FALSE))</f>
        <v/>
      </c>
      <c r="D45" s="307"/>
      <c r="E45" s="307"/>
      <c r="F45" s="257"/>
      <c r="G45" s="259"/>
      <c r="H45" s="278"/>
      <c r="I45" s="203" t="str">
        <f>IF($B45=0,"",VLOOKUP($B45,Materials[],5,FALSE))</f>
        <v/>
      </c>
      <c r="J45" s="205" t="str">
        <f>IF($B45=0,"",VLOOKUP($B45,Materials[],7,FALSE))</f>
        <v/>
      </c>
      <c r="K45" s="238">
        <f t="shared" si="2"/>
        <v>0</v>
      </c>
      <c r="L45" s="210"/>
    </row>
    <row r="46" spans="1:12" x14ac:dyDescent="0.2">
      <c r="A46" s="209"/>
      <c r="B46" s="261"/>
      <c r="C46" s="307" t="str">
        <f>IF(B46=0,"",VLOOKUP($B46,Materials[],2,FALSE))</f>
        <v/>
      </c>
      <c r="D46" s="307"/>
      <c r="E46" s="307"/>
      <c r="F46" s="257"/>
      <c r="G46" s="259"/>
      <c r="H46" s="278"/>
      <c r="I46" s="203" t="str">
        <f>IF($B46=0,"",VLOOKUP($B46,Materials[],5,FALSE))</f>
        <v/>
      </c>
      <c r="J46" s="205" t="str">
        <f>IF($B46=0,"",VLOOKUP($B46,Materials[],7,FALSE))</f>
        <v/>
      </c>
      <c r="K46" s="238">
        <f t="shared" si="2"/>
        <v>0</v>
      </c>
      <c r="L46" s="210"/>
    </row>
    <row r="47" spans="1:12" x14ac:dyDescent="0.2">
      <c r="A47" s="209"/>
      <c r="B47" s="261"/>
      <c r="C47" s="307" t="str">
        <f>IF(B47=0,"",VLOOKUP($B47,Materials[],2,FALSE))</f>
        <v/>
      </c>
      <c r="D47" s="307"/>
      <c r="E47" s="307"/>
      <c r="F47" s="257"/>
      <c r="G47" s="259"/>
      <c r="H47" s="278"/>
      <c r="I47" s="203" t="str">
        <f>IF($B47=0,"",VLOOKUP($B47,Materials[],5,FALSE))</f>
        <v/>
      </c>
      <c r="J47" s="205" t="str">
        <f>IF($B47=0,"",VLOOKUP($B47,Materials[],7,FALSE))</f>
        <v/>
      </c>
      <c r="K47" s="238">
        <f t="shared" si="2"/>
        <v>0</v>
      </c>
      <c r="L47" s="210"/>
    </row>
    <row r="48" spans="1:12" x14ac:dyDescent="0.2">
      <c r="B48" s="262"/>
      <c r="C48" s="307" t="str">
        <f>IF(B48=0,"",VLOOKUP($B48,Materials[],2,FALSE))</f>
        <v/>
      </c>
      <c r="D48" s="307"/>
      <c r="E48" s="307"/>
      <c r="F48" s="258"/>
      <c r="G48" s="259"/>
      <c r="H48" s="280"/>
      <c r="I48" s="203" t="str">
        <f>IF($B48=0,"",VLOOKUP($B48,Materials[],5,FALSE))</f>
        <v/>
      </c>
      <c r="J48" s="205" t="str">
        <f>IF($B48=0,"",VLOOKUP($B48,Materials[],7,FALSE))</f>
        <v/>
      </c>
      <c r="K48" s="238">
        <f t="shared" si="2"/>
        <v>0</v>
      </c>
      <c r="L48" s="210"/>
    </row>
    <row r="49" spans="2:12" x14ac:dyDescent="0.2">
      <c r="B49" s="262"/>
      <c r="C49" s="307" t="str">
        <f>IF(B49=0,"",VLOOKUP($B49,Materials[],2,FALSE))</f>
        <v/>
      </c>
      <c r="D49" s="307"/>
      <c r="E49" s="307"/>
      <c r="F49" s="258"/>
      <c r="G49" s="259"/>
      <c r="H49" s="280"/>
      <c r="I49" s="203" t="str">
        <f>IF($B49=0,"",VLOOKUP($B49,Materials[],5,FALSE))</f>
        <v/>
      </c>
      <c r="J49" s="205" t="str">
        <f>IF($B49=0,"",VLOOKUP($B49,Materials[],7,FALSE))</f>
        <v/>
      </c>
      <c r="K49" s="238">
        <f t="shared" si="2"/>
        <v>0</v>
      </c>
      <c r="L49" s="210"/>
    </row>
    <row r="50" spans="2:12" x14ac:dyDescent="0.2">
      <c r="B50" s="262"/>
      <c r="C50" s="307" t="str">
        <f>IF(B50=0,"",VLOOKUP($B50,Materials[],2,FALSE))</f>
        <v/>
      </c>
      <c r="D50" s="307"/>
      <c r="E50" s="307"/>
      <c r="F50" s="258"/>
      <c r="G50" s="241"/>
      <c r="H50" s="280"/>
      <c r="I50" s="203" t="str">
        <f>IF($B50=0,"",VLOOKUP($B50,Materials[],5,FALSE))</f>
        <v/>
      </c>
      <c r="J50" s="205" t="str">
        <f>IF($B50=0,"",VLOOKUP($B50,Materials[],7,FALSE))</f>
        <v/>
      </c>
      <c r="K50" s="238">
        <f t="shared" si="2"/>
        <v>0</v>
      </c>
      <c r="L50" s="210"/>
    </row>
    <row r="51" spans="2:12" x14ac:dyDescent="0.2">
      <c r="B51" s="262"/>
      <c r="C51" s="307" t="str">
        <f>IF(B51=0,"",VLOOKUP($B51,Materials[],2,FALSE))</f>
        <v/>
      </c>
      <c r="D51" s="307"/>
      <c r="E51" s="307"/>
      <c r="F51" s="258"/>
      <c r="G51" s="241"/>
      <c r="H51" s="280"/>
      <c r="I51" s="203" t="str">
        <f>IF($B51=0,"",VLOOKUP($B51,Materials[],5,FALSE))</f>
        <v/>
      </c>
      <c r="J51" s="205" t="str">
        <f>IF($B51=0,"",VLOOKUP($B51,Materials[],7,FALSE))</f>
        <v/>
      </c>
      <c r="K51" s="238">
        <f t="shared" si="2"/>
        <v>0</v>
      </c>
      <c r="L51" s="210"/>
    </row>
    <row r="52" spans="2:12" x14ac:dyDescent="0.2">
      <c r="B52" s="262"/>
      <c r="C52" s="307" t="str">
        <f>IF(B52=0,"",VLOOKUP($B52,Materials[],2,FALSE))</f>
        <v/>
      </c>
      <c r="D52" s="307"/>
      <c r="E52" s="307"/>
      <c r="F52" s="258"/>
      <c r="G52" s="241"/>
      <c r="H52" s="280"/>
      <c r="I52" s="203" t="str">
        <f>IF($B52=0,"",VLOOKUP($B52,Materials[],5,FALSE))</f>
        <v/>
      </c>
      <c r="J52" s="205" t="str">
        <f>IF($B52=0,"",VLOOKUP($B52,Materials[],7,FALSE))</f>
        <v/>
      </c>
      <c r="K52" s="238">
        <f t="shared" si="2"/>
        <v>0</v>
      </c>
      <c r="L52" s="210"/>
    </row>
    <row r="53" spans="2:12" x14ac:dyDescent="0.2">
      <c r="B53" s="262"/>
      <c r="C53" s="307" t="str">
        <f>IF(B53=0,"",VLOOKUP($B53,Materials[],2,FALSE))</f>
        <v/>
      </c>
      <c r="D53" s="307"/>
      <c r="E53" s="307"/>
      <c r="F53" s="258"/>
      <c r="G53" s="241"/>
      <c r="H53" s="280"/>
      <c r="I53" s="203" t="str">
        <f>IF($B53=0,"",VLOOKUP($B53,Materials[],5,FALSE))</f>
        <v/>
      </c>
      <c r="J53" s="205" t="str">
        <f>IF($B53=0,"",VLOOKUP($B53,Materials[],7,FALSE))</f>
        <v/>
      </c>
      <c r="K53" s="238">
        <f t="shared" si="2"/>
        <v>0</v>
      </c>
      <c r="L53" s="228"/>
    </row>
    <row r="54" spans="2:12" x14ac:dyDescent="0.2">
      <c r="B54" s="262"/>
      <c r="C54" s="307" t="str">
        <f>IF(B54=0,"",VLOOKUP($B54,Materials[],2,FALSE))</f>
        <v/>
      </c>
      <c r="D54" s="307"/>
      <c r="E54" s="307"/>
      <c r="F54" s="258"/>
      <c r="G54" s="241"/>
      <c r="H54" s="280"/>
      <c r="I54" s="203" t="str">
        <f>IF($B54=0,"",VLOOKUP($B54,Materials[],5,FALSE))</f>
        <v/>
      </c>
      <c r="J54" s="205" t="str">
        <f>IF($B54=0,"",VLOOKUP($B54,Materials[],7,FALSE))</f>
        <v/>
      </c>
      <c r="K54" s="238">
        <f>IF(B54=0,0,ROUND(G54*H54*J54,2))</f>
        <v>0</v>
      </c>
      <c r="L54" s="228"/>
    </row>
    <row r="55" spans="2:12" x14ac:dyDescent="0.2">
      <c r="B55" s="262"/>
      <c r="C55" s="307" t="str">
        <f>IF(B55=0,"",VLOOKUP($B55,Materials[],2,FALSE))</f>
        <v/>
      </c>
      <c r="D55" s="307"/>
      <c r="E55" s="307"/>
      <c r="F55" s="258"/>
      <c r="G55" s="241"/>
      <c r="H55" s="280"/>
      <c r="I55" s="203" t="str">
        <f>IF($B55=0,"",VLOOKUP($B55,Materials[],5,FALSE))</f>
        <v/>
      </c>
      <c r="J55" s="205" t="str">
        <f>IF($B55=0,"",VLOOKUP($B55,Materials[],7,FALSE))</f>
        <v/>
      </c>
      <c r="K55" s="238">
        <f>IF(B55=0,0,ROUND(G55*H55*J55,2))</f>
        <v>0</v>
      </c>
      <c r="L55" s="228"/>
    </row>
    <row r="56" spans="2:12" x14ac:dyDescent="0.2">
      <c r="B56" s="262"/>
      <c r="C56" s="307" t="str">
        <f>IF(B56=0,"",VLOOKUP($B56,Materials[],2,FALSE))</f>
        <v/>
      </c>
      <c r="D56" s="307"/>
      <c r="E56" s="307"/>
      <c r="F56" s="258"/>
      <c r="G56" s="241"/>
      <c r="H56" s="280"/>
      <c r="I56" s="203" t="str">
        <f>IF($B56=0,"",VLOOKUP($B56,Materials[],5,FALSE))</f>
        <v/>
      </c>
      <c r="J56" s="205" t="str">
        <f>IF($B56=0,"",VLOOKUP($B56,Materials[],7,FALSE))</f>
        <v/>
      </c>
      <c r="K56" s="238">
        <f>IF(B56=0,0,ROUND(G56*H56*J56,2))</f>
        <v>0</v>
      </c>
      <c r="L56" s="228"/>
    </row>
    <row r="57" spans="2:12" x14ac:dyDescent="0.2">
      <c r="B57" s="262"/>
      <c r="C57" s="307" t="str">
        <f>IF(B57=0,"",VLOOKUP($B57,Materials[],2,FALSE))</f>
        <v/>
      </c>
      <c r="D57" s="307"/>
      <c r="E57" s="307"/>
      <c r="F57" s="258"/>
      <c r="G57" s="241"/>
      <c r="H57" s="280"/>
      <c r="I57" s="203" t="str">
        <f>IF($B57=0,"",VLOOKUP($B57,Materials[],5,FALSE))</f>
        <v/>
      </c>
      <c r="J57" s="205" t="str">
        <f>IF($B57=0,"",VLOOKUP($B57,Materials[],7,FALSE))</f>
        <v/>
      </c>
      <c r="K57" s="238">
        <f>IF(B57=0,0,ROUND(G57*H57*J57,2))</f>
        <v>0</v>
      </c>
      <c r="L57" s="228"/>
    </row>
    <row r="58" spans="2:12" x14ac:dyDescent="0.2">
      <c r="B58" s="262"/>
      <c r="C58" s="307" t="str">
        <f>IF(B58=0,"",VLOOKUP($B58,Materials[],2,FALSE))</f>
        <v/>
      </c>
      <c r="D58" s="307"/>
      <c r="E58" s="307"/>
      <c r="F58" s="258"/>
      <c r="G58" s="241"/>
      <c r="H58" s="280"/>
      <c r="I58" s="203" t="str">
        <f>IF($B58=0,"",VLOOKUP($B58,Materials[],5,FALSE))</f>
        <v/>
      </c>
      <c r="J58" s="205" t="str">
        <f>IF($B58=0,"",VLOOKUP($B58,Materials[],7,FALSE))</f>
        <v/>
      </c>
      <c r="K58" s="238">
        <f>IF(B58=0,0,ROUND(G58*H58*J58,2))</f>
        <v>0</v>
      </c>
      <c r="L58" s="228"/>
    </row>
    <row r="59" spans="2:12" x14ac:dyDescent="0.2">
      <c r="B59" s="262"/>
      <c r="C59" s="308">
        <f>IF(B59=0,0,"Crop Insurance")</f>
        <v>0</v>
      </c>
      <c r="D59" s="308"/>
      <c r="E59" s="308"/>
      <c r="F59" s="258"/>
      <c r="G59" s="241">
        <f>IF(B59=0,0,100%)</f>
        <v>0</v>
      </c>
      <c r="H59" s="280">
        <f>IF(B59=0,0,1)</f>
        <v>0</v>
      </c>
      <c r="I59" s="203">
        <f>IF(B59=0,0,"acre")</f>
        <v>0</v>
      </c>
      <c r="J59" s="205">
        <f>IFERROR(VLOOKUP(B59,CropInsurance,2,FALSE),0)</f>
        <v>0</v>
      </c>
      <c r="K59" s="208">
        <f>IF(B59=0,0,J59)</f>
        <v>0</v>
      </c>
      <c r="L59" s="228"/>
    </row>
    <row r="60" spans="2:12" ht="3.75" customHeight="1" thickBot="1" x14ac:dyDescent="0.25">
      <c r="B60" s="229"/>
      <c r="C60" s="227"/>
      <c r="D60" s="227"/>
      <c r="E60" s="227"/>
      <c r="F60" s="230"/>
      <c r="G60" s="231"/>
      <c r="H60" s="232"/>
      <c r="I60" s="204"/>
      <c r="J60" s="206"/>
      <c r="K60" s="202"/>
      <c r="L60" s="226"/>
    </row>
    <row r="61" spans="2:12" ht="13.5" thickTop="1" x14ac:dyDescent="0.2">
      <c r="C61" s="199" t="s">
        <v>96</v>
      </c>
      <c r="D61" s="199"/>
      <c r="J61" s="238"/>
      <c r="K61" s="238">
        <f>SUM(K35:K59)</f>
        <v>0</v>
      </c>
      <c r="L61" s="210"/>
    </row>
    <row r="62" spans="2:12" x14ac:dyDescent="0.2">
      <c r="B62" s="221"/>
    </row>
    <row r="63" spans="2:12" x14ac:dyDescent="0.2">
      <c r="B63" s="242" t="s">
        <v>100</v>
      </c>
      <c r="K63" s="238">
        <f>K31+K61</f>
        <v>0</v>
      </c>
      <c r="L63" s="210"/>
    </row>
    <row r="64" spans="2:12" ht="13.5" thickBot="1" x14ac:dyDescent="0.25">
      <c r="D64" s="213" t="s">
        <v>401</v>
      </c>
      <c r="E64" s="225">
        <f>SUM($E$31:$H$31)+$K$61</f>
        <v>0</v>
      </c>
      <c r="F64" s="302" t="s">
        <v>402</v>
      </c>
      <c r="G64" s="302"/>
      <c r="H64" s="214">
        <f>'General Variables'!$B$11</f>
        <v>5.5E-2</v>
      </c>
      <c r="I64" s="215" t="str">
        <f>CONCATENATE("for ",TEXT('General Variables'!$B$12,"0.0")," mo.")</f>
        <v>for 6.0 mo.</v>
      </c>
      <c r="K64" s="21">
        <f>ROUND(E64*H64*'General Variables'!$B$12/12,2)</f>
        <v>0</v>
      </c>
      <c r="L64" s="211"/>
    </row>
    <row r="65" spans="2:12" ht="13.5" thickTop="1" x14ac:dyDescent="0.2">
      <c r="B65" s="242" t="s">
        <v>406</v>
      </c>
      <c r="K65" s="238">
        <f>SUM(K63:K64)</f>
        <v>0</v>
      </c>
      <c r="L65" s="210"/>
    </row>
    <row r="67" spans="2:12" x14ac:dyDescent="0.2">
      <c r="B67" s="223" t="s">
        <v>434</v>
      </c>
      <c r="C67" s="212"/>
      <c r="D67" s="212"/>
      <c r="E67" s="212"/>
      <c r="F67" s="212"/>
      <c r="G67" s="212"/>
      <c r="H67" s="212"/>
      <c r="I67" s="212"/>
      <c r="J67" s="212"/>
      <c r="K67" s="22">
        <f>'General Variables'!B14</f>
        <v>20</v>
      </c>
      <c r="L67" s="210"/>
    </row>
    <row r="68" spans="2:12" x14ac:dyDescent="0.2">
      <c r="B68" s="198" t="s">
        <v>409</v>
      </c>
      <c r="C68" s="303"/>
      <c r="D68" s="304"/>
      <c r="E68" s="305"/>
      <c r="F68" s="217">
        <f>IF(C68=0,0,VLOOKUP(C68,RETable,2,FALSE))</f>
        <v>0</v>
      </c>
      <c r="G68" s="302" t="s">
        <v>410</v>
      </c>
      <c r="H68" s="302"/>
      <c r="I68" s="214">
        <f>'General Variables'!$B$10</f>
        <v>0.04</v>
      </c>
      <c r="K68" s="23">
        <f>ROUND(F68*I68,2)</f>
        <v>0</v>
      </c>
      <c r="L68" s="210"/>
    </row>
    <row r="69" spans="2:12" ht="13.5" thickBot="1" x14ac:dyDescent="0.25">
      <c r="B69" s="198" t="s">
        <v>418</v>
      </c>
      <c r="F69" s="224">
        <f>IF(C68=0,0,VLOOKUP(C68,RETable,2,FALSE))</f>
        <v>0</v>
      </c>
      <c r="G69" s="306" t="s">
        <v>410</v>
      </c>
      <c r="H69" s="306"/>
      <c r="I69" s="222">
        <f>'General Variables'!$B$13</f>
        <v>0.01</v>
      </c>
      <c r="J69" s="209"/>
      <c r="K69" s="24">
        <f>ROUND(F69*I69,2)</f>
        <v>0</v>
      </c>
      <c r="L69" s="211"/>
    </row>
    <row r="70" spans="2:12" ht="13.5" thickTop="1" x14ac:dyDescent="0.2">
      <c r="B70" s="242" t="s">
        <v>423</v>
      </c>
      <c r="K70" s="238">
        <f>SUM(K65:K69)</f>
        <v>20</v>
      </c>
      <c r="L70" s="210"/>
    </row>
    <row r="72" spans="2:12" x14ac:dyDescent="0.2">
      <c r="B72" s="242" t="str">
        <f>"Cost per "&amp;$B$4</f>
        <v>Cost per Unit</v>
      </c>
      <c r="K72" s="238">
        <f>IF(A4="Yield",0,K70/A4)</f>
        <v>0</v>
      </c>
      <c r="L72" s="210"/>
    </row>
    <row r="73" spans="2:12" x14ac:dyDescent="0.2">
      <c r="B73" s="218" t="str">
        <f>"Cash Cost per "&amp;$B$4</f>
        <v>Cash Cost per Unit</v>
      </c>
      <c r="C73" s="209"/>
      <c r="D73" s="209"/>
      <c r="E73" s="209"/>
      <c r="F73" s="209"/>
      <c r="G73" s="209"/>
      <c r="H73" s="209"/>
      <c r="I73" s="209"/>
      <c r="J73" s="209"/>
      <c r="K73" s="239">
        <f>IF(A4="Yield",0,(E64+K64)/A4)</f>
        <v>0</v>
      </c>
      <c r="L73" s="219"/>
    </row>
    <row r="83" spans="2:4" x14ac:dyDescent="0.2">
      <c r="B83" s="207"/>
      <c r="C83" s="207"/>
      <c r="D83" s="207"/>
    </row>
    <row r="84" spans="2:4" x14ac:dyDescent="0.2">
      <c r="B84" s="207"/>
      <c r="C84" s="207"/>
      <c r="D84" s="207"/>
    </row>
    <row r="85" spans="2:4" x14ac:dyDescent="0.2">
      <c r="B85" s="207"/>
      <c r="C85" s="207"/>
      <c r="D85" s="207"/>
    </row>
    <row r="86" spans="2:4" x14ac:dyDescent="0.2">
      <c r="B86" s="207"/>
      <c r="C86" s="207"/>
      <c r="D86" s="207"/>
    </row>
    <row r="87" spans="2:4" x14ac:dyDescent="0.2">
      <c r="B87" s="207"/>
      <c r="C87" s="207"/>
      <c r="D87" s="207"/>
    </row>
    <row r="88" spans="2:4" x14ac:dyDescent="0.2">
      <c r="B88" s="207"/>
      <c r="C88" s="207"/>
      <c r="D88" s="207"/>
    </row>
    <row r="89" spans="2:4" x14ac:dyDescent="0.2">
      <c r="B89" s="207"/>
      <c r="C89" s="207"/>
      <c r="D89" s="207"/>
    </row>
    <row r="90" spans="2:4" x14ac:dyDescent="0.2">
      <c r="B90" s="207"/>
      <c r="C90" s="207"/>
      <c r="D90" s="207"/>
    </row>
    <row r="91" spans="2:4" x14ac:dyDescent="0.2">
      <c r="B91" s="207"/>
      <c r="C91" s="207"/>
      <c r="D91" s="207"/>
    </row>
    <row r="92" spans="2:4" x14ac:dyDescent="0.2">
      <c r="B92" s="207"/>
      <c r="C92" s="207"/>
      <c r="D92" s="207"/>
    </row>
    <row r="93" spans="2:4" x14ac:dyDescent="0.2">
      <c r="B93" s="207"/>
      <c r="C93" s="207"/>
      <c r="D93" s="207"/>
    </row>
    <row r="94" spans="2:4" x14ac:dyDescent="0.2">
      <c r="B94" s="207"/>
      <c r="C94" s="207"/>
      <c r="D94" s="207"/>
    </row>
    <row r="95" spans="2:4" x14ac:dyDescent="0.2">
      <c r="B95" s="207"/>
      <c r="C95" s="207"/>
      <c r="D95" s="207"/>
    </row>
    <row r="96" spans="2:4" x14ac:dyDescent="0.2">
      <c r="B96" s="207"/>
      <c r="C96" s="207"/>
      <c r="D96" s="207"/>
    </row>
    <row r="97" spans="2:11" x14ac:dyDescent="0.2">
      <c r="B97" s="207"/>
      <c r="C97" s="207"/>
      <c r="D97" s="207"/>
    </row>
    <row r="98" spans="2:11" x14ac:dyDescent="0.2">
      <c r="B98" s="207"/>
      <c r="C98" s="207"/>
      <c r="D98" s="207"/>
    </row>
    <row r="99" spans="2:11" x14ac:dyDescent="0.2">
      <c r="B99" s="207"/>
      <c r="C99" s="207"/>
      <c r="D99" s="207"/>
    </row>
    <row r="100" spans="2:11" x14ac:dyDescent="0.2">
      <c r="B100" s="207"/>
      <c r="C100" s="207"/>
      <c r="D100" s="207"/>
    </row>
    <row r="101" spans="2:11" x14ac:dyDescent="0.2">
      <c r="B101" s="207"/>
      <c r="C101" s="207"/>
      <c r="D101" s="207"/>
    </row>
    <row r="102" spans="2:11" x14ac:dyDescent="0.2">
      <c r="B102" s="207"/>
      <c r="C102" s="207"/>
      <c r="D102" s="207"/>
    </row>
    <row r="103" spans="2:11" x14ac:dyDescent="0.2">
      <c r="B103" s="207"/>
      <c r="C103" s="207"/>
      <c r="D103" s="207"/>
    </row>
    <row r="104" spans="2:11" x14ac:dyDescent="0.2">
      <c r="B104" s="207"/>
      <c r="C104" s="207"/>
      <c r="D104" s="207"/>
    </row>
    <row r="105" spans="2:11" x14ac:dyDescent="0.2">
      <c r="B105" s="207"/>
      <c r="C105" s="207"/>
      <c r="D105" s="207"/>
    </row>
    <row r="106" spans="2:11" x14ac:dyDescent="0.2">
      <c r="B106" s="207"/>
      <c r="C106" s="207"/>
      <c r="D106" s="207"/>
    </row>
    <row r="107" spans="2:11" x14ac:dyDescent="0.2">
      <c r="B107" s="207"/>
      <c r="C107" s="207"/>
      <c r="D107" s="207"/>
    </row>
    <row r="108" spans="2:11" x14ac:dyDescent="0.2">
      <c r="B108" s="209" t="str">
        <f>IF(Operations!A2="","",Operations!A2)</f>
        <v>Aerial Spray</v>
      </c>
      <c r="C108" s="209" t="str">
        <f>IF(Materials!B2="","",Materials!B2)</f>
        <v>10-34-0</v>
      </c>
      <c r="D108" s="209"/>
      <c r="F108" s="198" t="str">
        <f>IF('General Variables'!E5=0,"",'General Variables'!E5)</f>
        <v>Dryland (State)</v>
      </c>
      <c r="H108" s="198" t="str">
        <f>'General Variables'!A18</f>
        <v>Corn Dryland</v>
      </c>
    </row>
    <row r="109" spans="2:11" x14ac:dyDescent="0.2">
      <c r="B109" s="209" t="str">
        <f>IF(Operations!A3="","",Operations!A3)</f>
        <v>Anhy Apply (supplier)</v>
      </c>
      <c r="C109" s="209" t="str">
        <f>IF(Materials!B3="","",Materials!B3)</f>
        <v>10-34-0-1Z</v>
      </c>
      <c r="D109" s="209"/>
      <c r="F109" s="198" t="str">
        <f>IF('General Variables'!E6=0,"",'General Variables'!E6)</f>
        <v>Dryland (Panhandle)</v>
      </c>
      <c r="H109" s="198" t="str">
        <f>'General Variables'!A19</f>
        <v>Corn Dryland Ecofallow</v>
      </c>
      <c r="K109" s="198" t="s">
        <v>571</v>
      </c>
    </row>
    <row r="110" spans="2:11" x14ac:dyDescent="0.2">
      <c r="B110" s="209" t="str">
        <f>IF(Operations!A4="","",Operations!A4)</f>
        <v>Anhydrous Apply</v>
      </c>
      <c r="C110" s="209" t="str">
        <f>IF(Materials!B4="","",Materials!B4)</f>
        <v>11-52-0</v>
      </c>
      <c r="D110" s="209"/>
      <c r="F110" s="198" t="str">
        <f>IF('General Variables'!E7=0,"",'General Variables'!E7)</f>
        <v>Gravity (State)</v>
      </c>
      <c r="H110" s="198" t="str">
        <f>'General Variables'!A20</f>
        <v>Corn Irrigated</v>
      </c>
      <c r="K110" s="198" t="s">
        <v>572</v>
      </c>
    </row>
    <row r="111" spans="2:11" x14ac:dyDescent="0.2">
      <c r="B111" s="209" t="str">
        <f>IF(Operations!A5="","",Operations!A5)</f>
        <v>Cart</v>
      </c>
      <c r="C111" s="209" t="str">
        <f>IF(Materials!B5="","",Materials!B5)</f>
        <v>2,4-D Amine</v>
      </c>
      <c r="D111" s="209"/>
      <c r="F111" s="198" t="str">
        <f>IF('General Variables'!E8=0,"",'General Variables'!E8)</f>
        <v>Gravity (Panhandle)</v>
      </c>
      <c r="H111" s="198" t="str">
        <f>'General Variables'!A21</f>
        <v>Drybeans</v>
      </c>
    </row>
    <row r="112" spans="2:11" x14ac:dyDescent="0.2">
      <c r="B112" s="209" t="str">
        <f>IF(Operations!A6="","",Operations!A6)</f>
        <v>Chisel</v>
      </c>
      <c r="C112" s="209" t="str">
        <f>IF(Materials!B6="","",Materials!B6)</f>
        <v>2,4-D Ester 4#</v>
      </c>
      <c r="D112" s="209"/>
      <c r="F112" s="198" t="str">
        <f>IF('General Variables'!E9=0,"",'General Variables'!E9)</f>
        <v>Pivot (State)</v>
      </c>
      <c r="H112" s="198" t="str">
        <f>'General Variables'!A22</f>
        <v>Grain Sorghum Dryland</v>
      </c>
    </row>
    <row r="113" spans="2:8" x14ac:dyDescent="0.2">
      <c r="B113" s="209" t="str">
        <f>IF(Operations!A7="","",Operations!A7)</f>
        <v>Chop Silage</v>
      </c>
      <c r="C113" s="209" t="str">
        <f>IF(Materials!B7="","",Materials!B7)</f>
        <v xml:space="preserve">21-0-0-24S   </v>
      </c>
      <c r="D113" s="209"/>
      <c r="F113" s="198" t="str">
        <f>IF('General Variables'!E10=0,"",'General Variables'!E10)</f>
        <v>Pivot (Panhandle)</v>
      </c>
      <c r="H113" s="198" t="str">
        <f>'General Variables'!A23</f>
        <v>Grain Sorghum Irrigated</v>
      </c>
    </row>
    <row r="114" spans="2:8" x14ac:dyDescent="0.2">
      <c r="B114" s="209" t="str">
        <f>IF(Operations!A8="","",Operations!A8)</f>
        <v>Chop Stalks</v>
      </c>
      <c r="C114" s="209" t="str">
        <f>IF(Materials!B8="","",Materials!B8)</f>
        <v>28-0-0</v>
      </c>
      <c r="D114" s="209"/>
      <c r="F114" s="198" t="str">
        <f>IF('General Variables'!E11=0,"",'General Variables'!E11)</f>
        <v>Dryland (Southwest)</v>
      </c>
      <c r="H114" s="198" t="str">
        <f>'General Variables'!A24</f>
        <v>Millet</v>
      </c>
    </row>
    <row r="115" spans="2:8" x14ac:dyDescent="0.2">
      <c r="B115" s="209" t="str">
        <f>IF(Operations!A9="","",Operations!A9)</f>
        <v>Combine Dryland Corn</v>
      </c>
      <c r="C115" s="209" t="str">
        <f>IF(Materials!B9="","",Materials!B9)</f>
        <v>32-0-0</v>
      </c>
      <c r="D115" s="209"/>
      <c r="F115" s="198" t="str">
        <f>IF('General Variables'!E12=0,"",'General Variables'!E12)</f>
        <v>Fall Establishment</v>
      </c>
      <c r="H115" s="198" t="str">
        <f>'General Variables'!A25</f>
        <v>Oats</v>
      </c>
    </row>
    <row r="116" spans="2:8" x14ac:dyDescent="0.2">
      <c r="B116" s="209" t="str">
        <f>IF(Operations!A10="","",Operations!A10)</f>
        <v>Combine Dryland SB</v>
      </c>
      <c r="C116" s="209" t="str">
        <f>IF(Materials!B10="","",Materials!B10)</f>
        <v>32-0-0 (Applied by Pivot)</v>
      </c>
      <c r="D116" s="209"/>
      <c r="F116" s="198" t="str">
        <f>IF('General Variables'!E13=0,"",'General Variables'!E13)</f>
        <v>Pivot (Marginal Land)</v>
      </c>
      <c r="H116" s="198" t="str">
        <f>'General Variables'!A26</f>
        <v>Soybeans Dryland</v>
      </c>
    </row>
    <row r="117" spans="2:8" x14ac:dyDescent="0.2">
      <c r="B117" s="209" t="str">
        <f>IF(Operations!A11="","",Operations!A11)</f>
        <v>Combine Dryland SG</v>
      </c>
      <c r="C117" s="209" t="str">
        <f>IF(Materials!B11="","",Materials!B11)</f>
        <v>32-0-0 (Applied by R2)</v>
      </c>
      <c r="D117" s="209"/>
      <c r="F117" s="198" t="e">
        <f>IF('General Variables'!#REF!=0,"",'General Variables'!#REF!)</f>
        <v>#REF!</v>
      </c>
      <c r="H117" s="198" t="str">
        <f>'General Variables'!A27</f>
        <v>Soybeans Irrigated</v>
      </c>
    </row>
    <row r="118" spans="2:8" x14ac:dyDescent="0.2">
      <c r="B118" s="209" t="str">
        <f>IF(Operations!A12="","",Operations!A12)</f>
        <v>Combine Irr Corn</v>
      </c>
      <c r="C118" s="209" t="str">
        <f>IF(Materials!B12="","",Materials!B12)</f>
        <v>32-0-0 (Additive)</v>
      </c>
      <c r="D118" s="209"/>
      <c r="F118" s="198" t="e">
        <f>IF('General Variables'!#REF!=0,"",'General Variables'!#REF!)</f>
        <v>#REF!</v>
      </c>
      <c r="H118" s="198" t="str">
        <f>'General Variables'!A28</f>
        <v>Sugar Beets</v>
      </c>
    </row>
    <row r="119" spans="2:8" x14ac:dyDescent="0.2">
      <c r="B119" s="209" t="str">
        <f>IF(Operations!A13="","",Operations!A13)</f>
        <v>Combine Irr Dry Beans</v>
      </c>
      <c r="C119" s="209" t="str">
        <f>IF(Materials!B13="","",Materials!B13)</f>
        <v>46-0-0</v>
      </c>
      <c r="D119" s="209"/>
      <c r="F119" s="198" t="e">
        <f>IF('General Variables'!#REF!=0,"",'General Variables'!#REF!)</f>
        <v>#REF!</v>
      </c>
      <c r="H119" s="198" t="str">
        <f>'General Variables'!A29</f>
        <v>Sunflower Dryland</v>
      </c>
    </row>
    <row r="120" spans="2:8" x14ac:dyDescent="0.2">
      <c r="B120" s="209" t="str">
        <f>IF(Operations!A14="","",Operations!A14)</f>
        <v>Combine Irr SB</v>
      </c>
      <c r="C120" s="209" t="str">
        <f>IF(Materials!B14="","",Materials!B14)</f>
        <v>82-0-0</v>
      </c>
      <c r="D120" s="209"/>
      <c r="F120" s="198" t="e">
        <f>IF('General Variables'!#REF!=0,"",'General Variables'!#REF!)</f>
        <v>#REF!</v>
      </c>
      <c r="H120" s="198" t="str">
        <f>'General Variables'!A30</f>
        <v>Sunflower Irrigated</v>
      </c>
    </row>
    <row r="121" spans="2:8" x14ac:dyDescent="0.2">
      <c r="B121" s="209" t="str">
        <f>IF(Operations!A15="","",Operations!A15)</f>
        <v>Combine Irr SG</v>
      </c>
      <c r="C121" s="209" t="str">
        <f>IF(Materials!B15="","",Materials!B15)</f>
        <v>AAtrex 4L</v>
      </c>
      <c r="D121" s="209"/>
      <c r="F121" s="198" t="e">
        <f>IF('General Variables'!#REF!=0,"",'General Variables'!#REF!)</f>
        <v>#REF!</v>
      </c>
      <c r="H121" s="198" t="str">
        <f>'General Variables'!A31</f>
        <v>Wheat After Crop</v>
      </c>
    </row>
    <row r="122" spans="2:8" x14ac:dyDescent="0.2">
      <c r="B122" s="209" t="str">
        <f>IF(Operations!A16="","",Operations!A16)</f>
        <v>Combine Irrigated Dry Beans with Draper Flex Platform</v>
      </c>
      <c r="C122" s="209" t="str">
        <f>IF(Materials!B16="","",Materials!B16)</f>
        <v>Aerial Spray</v>
      </c>
      <c r="D122" s="209"/>
      <c r="F122" s="198" t="e">
        <f>IF('General Variables'!#REF!=0,"",'General Variables'!#REF!)</f>
        <v>#REF!</v>
      </c>
      <c r="H122" s="198" t="str">
        <f>'General Variables'!A32</f>
        <v>Wheat Fallowed</v>
      </c>
    </row>
    <row r="123" spans="2:8" x14ac:dyDescent="0.2">
      <c r="B123" s="209" t="str">
        <f>IF(Operations!A17="","",Operations!A17)</f>
        <v>Combine Small Grain</v>
      </c>
      <c r="C123" s="209" t="str">
        <f>IF(Materials!B17="","",Materials!B17)</f>
        <v>Aim 2EC</v>
      </c>
      <c r="D123" s="209"/>
      <c r="F123" s="198" t="e">
        <f>IF('General Variables'!#REF!=0,"",'General Variables'!#REF!)</f>
        <v>#REF!</v>
      </c>
      <c r="H123" s="198" t="str">
        <f>'General Variables'!A33</f>
        <v>Wheat Irrigated</v>
      </c>
    </row>
    <row r="124" spans="2:8" x14ac:dyDescent="0.2">
      <c r="B124" s="209" t="str">
        <f>IF(Operations!A18="","",Operations!A18)</f>
        <v>Combine Sunflowers</v>
      </c>
      <c r="C124" s="209" t="str">
        <f>IF(Materials!B18="","",Materials!B18)</f>
        <v>Alfalfa RR w/ Inoculant</v>
      </c>
      <c r="D124" s="209"/>
      <c r="F124" s="198" t="e">
        <f>IF('General Variables'!#REF!=0,"",'General Variables'!#REF!)</f>
        <v>#REF!</v>
      </c>
    </row>
    <row r="125" spans="2:8" x14ac:dyDescent="0.2">
      <c r="B125" s="209" t="str">
        <f>IF(Operations!A19="","",Operations!A19)</f>
        <v>Corrugate</v>
      </c>
      <c r="C125" s="209" t="str">
        <f>IF(Materials!B19="","",Materials!B19)</f>
        <v>Alfalfa w/Inoculant</v>
      </c>
      <c r="D125" s="209"/>
      <c r="F125" s="198" t="e">
        <f>IF('General Variables'!#REF!=0,"",'General Variables'!#REF!)</f>
        <v>#REF!</v>
      </c>
    </row>
    <row r="126" spans="2:8" x14ac:dyDescent="0.2">
      <c r="B126" s="209" t="str">
        <f>IF(Operations!A20="","",Operations!A20)</f>
        <v>Disc</v>
      </c>
      <c r="C126" s="209" t="str">
        <f>IF(Materials!B20="","",Materials!B20)</f>
        <v>Ally Extra SGW/TOTSOL</v>
      </c>
      <c r="D126" s="209"/>
      <c r="F126" s="198" t="e">
        <f>IF('General Variables'!#REF!=0,"",'General Variables'!#REF!)</f>
        <v>#REF!</v>
      </c>
    </row>
    <row r="127" spans="2:8" x14ac:dyDescent="0.2">
      <c r="B127" s="209" t="str">
        <f>IF(Operations!A21="","",Operations!A21)</f>
        <v>Ditch Irrigation</v>
      </c>
      <c r="C127" s="209" t="str">
        <f>IF(Materials!B21="","",Materials!B21)</f>
        <v>Asana XL</v>
      </c>
      <c r="D127" s="209"/>
      <c r="F127" s="198" t="e">
        <f>IF('General Variables'!#REF!=0,"",'General Variables'!#REF!)</f>
        <v>#REF!</v>
      </c>
    </row>
    <row r="128" spans="2:8" x14ac:dyDescent="0.2">
      <c r="B128" s="209" t="str">
        <f>IF(Operations!A22="","",Operations!A22)</f>
        <v>Double Windrows</v>
      </c>
      <c r="C128" s="209" t="str">
        <f>IF(Materials!B22="","",Materials!B22)</f>
        <v>Atrazine 4L</v>
      </c>
      <c r="D128" s="209"/>
      <c r="F128" s="198" t="str">
        <f>IF('General Variables'!M3=0,"",'General Variables'!M3)</f>
        <v/>
      </c>
    </row>
    <row r="129" spans="2:6" x14ac:dyDescent="0.2">
      <c r="B129" s="209" t="str">
        <f>IF(Operations!A23="","",Operations!A23)</f>
        <v>Drill</v>
      </c>
      <c r="C129" s="209" t="str">
        <f>IF(Materials!B23="","",Materials!B23)</f>
        <v>Atrazine 90 DF</v>
      </c>
      <c r="D129" s="209"/>
      <c r="F129" s="198" t="str">
        <f>IF('General Variables'!I3=0,"",'General Variables'!I3)</f>
        <v/>
      </c>
    </row>
    <row r="130" spans="2:6" x14ac:dyDescent="0.2">
      <c r="B130" s="209" t="str">
        <f>IF(Operations!A24="","",Operations!A24)</f>
        <v>Drill w/ Fertillizer</v>
      </c>
      <c r="C130" s="209" t="str">
        <f>IF(Materials!B24="","",Materials!B24)</f>
        <v>Authority First DF</v>
      </c>
      <c r="D130" s="209"/>
      <c r="F130" s="198" t="e">
        <f>IF('General Variables'!#REF!=0,"",'General Variables'!#REF!)</f>
        <v>#REF!</v>
      </c>
    </row>
    <row r="131" spans="2:6" x14ac:dyDescent="0.2">
      <c r="B131" s="209" t="str">
        <f>IF(Operations!A25="","",Operations!A25)</f>
        <v>Dry Grain</v>
      </c>
      <c r="C131" s="209" t="str">
        <f>IF(Materials!B25="","",Materials!B25)</f>
        <v>Balance Flexx</v>
      </c>
      <c r="D131" s="209"/>
      <c r="F131" s="198" t="e">
        <f>IF('General Variables'!#REF!=0,"",'General Variables'!#REF!)</f>
        <v>#REF!</v>
      </c>
    </row>
    <row r="132" spans="2:6" x14ac:dyDescent="0.2">
      <c r="B132" s="209" t="str">
        <f>IF(Operations!A26="","",Operations!A26)</f>
        <v>Fallow Master</v>
      </c>
      <c r="C132" s="209" t="str">
        <f>IF(Materials!B26="","",Materials!B26)</f>
        <v>Bale Lg Sq 1360 lb</v>
      </c>
      <c r="D132" s="209"/>
      <c r="F132" s="198" t="e">
        <f>IF('General Variables'!#REF!=0,"",'General Variables'!#REF!)</f>
        <v>#REF!</v>
      </c>
    </row>
    <row r="133" spans="2:6" x14ac:dyDescent="0.2">
      <c r="B133" s="209" t="str">
        <f>IF(Operations!A27="","",Operations!A27)</f>
        <v>Field Cultivation</v>
      </c>
      <c r="C133" s="209" t="str">
        <f>IF(Materials!B27="","",Materials!B27)</f>
        <v>Basagran</v>
      </c>
      <c r="D133" s="209"/>
      <c r="F133" s="198" t="e">
        <f>IF('General Variables'!#REF!=0,"",'General Variables'!#REF!)</f>
        <v>#REF!</v>
      </c>
    </row>
    <row r="134" spans="2:6" x14ac:dyDescent="0.2">
      <c r="B134" s="209" t="str">
        <f>IF(Operations!A28="","",Operations!A28)</f>
        <v>Grass Drill</v>
      </c>
      <c r="C134" s="209" t="str">
        <f>IF(Materials!B28="","",Materials!B28)</f>
        <v>Bicep II Magnum</v>
      </c>
      <c r="D134" s="209"/>
    </row>
    <row r="135" spans="2:6" x14ac:dyDescent="0.2">
      <c r="B135" s="209" t="str">
        <f>IF(Operations!A29="","",Operations!A29)</f>
        <v>Harrow</v>
      </c>
      <c r="C135" s="209" t="str">
        <f>IF(Materials!B29="","",Materials!B29)</f>
        <v>Brigade 2EC</v>
      </c>
      <c r="D135" s="209"/>
    </row>
    <row r="136" spans="2:6" x14ac:dyDescent="0.2">
      <c r="B136" s="209" t="str">
        <f>IF(Operations!A30="","",Operations!A30)</f>
        <v>Hoe</v>
      </c>
      <c r="C136" s="209" t="str">
        <f>IF(Materials!B30="","",Materials!B30)</f>
        <v>Buctril 4E</v>
      </c>
      <c r="D136" s="209"/>
    </row>
    <row r="137" spans="2:6" x14ac:dyDescent="0.2">
      <c r="B137" s="209" t="str">
        <f>IF(Operations!A31="","",Operations!A31)</f>
        <v>Lg Rd Bale</v>
      </c>
      <c r="C137" s="209" t="str">
        <f>IF(Materials!B31="","",Materials!B31)</f>
        <v>Capture LFR</v>
      </c>
      <c r="D137" s="209"/>
    </row>
    <row r="138" spans="2:6" x14ac:dyDescent="0.2">
      <c r="B138" s="209" t="str">
        <f>IF(Operations!A32="","",Operations!A32)</f>
        <v>Lg Sq Bale</v>
      </c>
      <c r="C138" s="209" t="str">
        <f>IF(Materials!B32="","",Materials!B32)</f>
        <v>Chop, Haul, Pack</v>
      </c>
      <c r="D138" s="209"/>
    </row>
    <row r="139" spans="2:6" x14ac:dyDescent="0.2">
      <c r="B139" s="209" t="str">
        <f>IF(Operations!A33="","",Operations!A33)</f>
        <v>Lift Beets</v>
      </c>
      <c r="C139" s="209" t="str">
        <f>IF(Materials!B33="","",Materials!B33)</f>
        <v>Copper</v>
      </c>
      <c r="D139" s="209"/>
    </row>
    <row r="140" spans="2:6" x14ac:dyDescent="0.2">
      <c r="B140" s="209" t="str">
        <f>IF(Operations!A34="","",Operations!A34)</f>
        <v>Load Lg Sq</v>
      </c>
      <c r="C140" s="209" t="str">
        <f>IF(Materials!B34="","",Materials!B34)</f>
        <v>Corn</v>
      </c>
      <c r="D140" s="209"/>
    </row>
    <row r="141" spans="2:6" x14ac:dyDescent="0.2">
      <c r="B141" s="209" t="str">
        <f>IF(Operations!A35="","",Operations!A35)</f>
        <v>Move Lg Rd</v>
      </c>
      <c r="C141" s="209" t="str">
        <f>IF(Materials!B35="","",Materials!B35)</f>
        <v>Corn Bt ECB</v>
      </c>
      <c r="D141" s="209"/>
    </row>
    <row r="142" spans="2:6" x14ac:dyDescent="0.2">
      <c r="B142" s="209" t="str">
        <f>IF(Operations!A36="","",Operations!A36)</f>
        <v>No-Till Drill</v>
      </c>
      <c r="C142" s="209" t="str">
        <f>IF(Materials!B36="","",Materials!B36)</f>
        <v>Corn Bt ECB&amp;RW</v>
      </c>
      <c r="D142" s="209"/>
    </row>
    <row r="143" spans="2:6" x14ac:dyDescent="0.2">
      <c r="B143" s="209" t="str">
        <f>IF(Operations!A37="","",Operations!A37)</f>
        <v>Pickett Windrowers</v>
      </c>
      <c r="C143" s="209" t="str">
        <f>IF(Materials!B37="","",Materials!B37)</f>
        <v>Corn Bt, ECB, RW &amp; RR2</v>
      </c>
      <c r="D143" s="209"/>
    </row>
    <row r="144" spans="2:6" x14ac:dyDescent="0.2">
      <c r="B144" s="209" t="str">
        <f>IF(Operations!A38="","",Operations!A38)</f>
        <v>Pipe D125’ Lift</v>
      </c>
      <c r="C144" s="209" t="str">
        <f>IF(Materials!B38="","",Materials!B38)</f>
        <v>Corn ECB &amp; RR2</v>
      </c>
      <c r="D144" s="209"/>
    </row>
    <row r="145" spans="2:4" x14ac:dyDescent="0.2">
      <c r="B145" s="209" t="str">
        <f>IF(Operations!A39="","",Operations!A39)</f>
        <v>PivotD 125’Lift</v>
      </c>
      <c r="C145" s="209" t="str">
        <f>IF(Materials!B39="","",Materials!B39)</f>
        <v>Corn RR2</v>
      </c>
      <c r="D145" s="209"/>
    </row>
    <row r="146" spans="2:4" x14ac:dyDescent="0.2">
      <c r="B146" s="209" t="str">
        <f>IF(Operations!A40="","",Operations!A40)</f>
        <v>PivotD 125’Lift w/fertigation</v>
      </c>
      <c r="C146" s="209" t="str">
        <f>IF(Materials!B40="","",Materials!B40)</f>
        <v xml:space="preserve">Corn SmartStax RIB Complete </v>
      </c>
      <c r="D146" s="209"/>
    </row>
    <row r="147" spans="2:4" x14ac:dyDescent="0.2">
      <c r="B147" s="209" t="str">
        <f>IF(Operations!A41="","",Operations!A41)</f>
        <v>PivotE 125’Lift</v>
      </c>
      <c r="C147" s="209" t="str">
        <f>IF(Materials!B41="","",Materials!B41)</f>
        <v>Cover Crop</v>
      </c>
      <c r="D147" s="209"/>
    </row>
    <row r="148" spans="2:4" x14ac:dyDescent="0.2">
      <c r="B148" s="209" t="str">
        <f>IF(Operations!A42="","",Operations!A42)</f>
        <v>PivotE 125’Lift w/fertigation</v>
      </c>
      <c r="C148" s="209" t="str">
        <f>IF(Materials!B42="","",Materials!B42)</f>
        <v>Cover Crop Legume</v>
      </c>
      <c r="D148" s="209"/>
    </row>
    <row r="149" spans="2:4" x14ac:dyDescent="0.2">
      <c r="B149" s="209" t="str">
        <f>IF(Operations!A43="","",Operations!A43)</f>
        <v>Plant</v>
      </c>
      <c r="C149" s="209" t="str">
        <f>IF(Materials!B43="","",Materials!B43)</f>
        <v>Crop Oil Concentrate</v>
      </c>
      <c r="D149" s="209"/>
    </row>
    <row r="150" spans="2:4" x14ac:dyDescent="0.2">
      <c r="B150" s="209" t="str">
        <f>IF(Operations!A44="","",Operations!A44)</f>
        <v>Plant Narrow Row</v>
      </c>
      <c r="C150" s="209" t="str">
        <f>IF(Materials!B44="","",Materials!B44)</f>
        <v>Dicamba</v>
      </c>
      <c r="D150" s="209"/>
    </row>
    <row r="151" spans="2:4" x14ac:dyDescent="0.2">
      <c r="B151" s="209" t="str">
        <f>IF(Operations!A45="","",Operations!A45)</f>
        <v>Plant No-Till</v>
      </c>
      <c r="C151" s="209" t="str">
        <f>IF(Materials!B45="","",Materials!B45)</f>
        <v>Distinct</v>
      </c>
      <c r="D151" s="209"/>
    </row>
    <row r="152" spans="2:4" x14ac:dyDescent="0.2">
      <c r="B152" s="209" t="str">
        <f>IF(Operations!A46="","",Operations!A46)</f>
        <v>Plow</v>
      </c>
      <c r="C152" s="209" t="str">
        <f>IF(Materials!B46="","",Materials!B46)</f>
        <v>Dry 2 Points Removed</v>
      </c>
      <c r="D152" s="209"/>
    </row>
    <row r="153" spans="2:4" x14ac:dyDescent="0.2">
      <c r="B153" s="209" t="str">
        <f>IF(Operations!A47="","",Operations!A47)</f>
        <v>Ridge Cultivate/Ditch</v>
      </c>
      <c r="C153" s="209" t="str">
        <f>IF(Materials!B47="","",Materials!B47)</f>
        <v>Edible Beans</v>
      </c>
      <c r="D153" s="209"/>
    </row>
    <row r="154" spans="2:4" x14ac:dyDescent="0.2">
      <c r="B154" s="209" t="str">
        <f>IF(Operations!A48="","",Operations!A48)</f>
        <v>Ridge Cultivation</v>
      </c>
      <c r="C154" s="209" t="str">
        <f>IF(Materials!B48="","",Materials!B48)</f>
        <v>Electricity Fixed</v>
      </c>
      <c r="D154" s="209"/>
    </row>
    <row r="155" spans="2:4" x14ac:dyDescent="0.2">
      <c r="B155" s="209" t="str">
        <f>IF(Operations!A49="","",Operations!A49)</f>
        <v>Ridge Plant</v>
      </c>
      <c r="C155" s="209" t="str">
        <f>IF(Materials!B49="","",Materials!B49)</f>
        <v>Electricity Usage</v>
      </c>
      <c r="D155" s="209"/>
    </row>
    <row r="156" spans="2:4" x14ac:dyDescent="0.2">
      <c r="B156" s="209" t="str">
        <f>IF(Operations!A50="","",Operations!A50)</f>
        <v>Ridge plant and band herb.</v>
      </c>
      <c r="C156" s="209" t="str">
        <f>IF(Materials!B50="","",Materials!B50)</f>
        <v>Expert</v>
      </c>
      <c r="D156" s="209"/>
    </row>
    <row r="157" spans="2:4" x14ac:dyDescent="0.2">
      <c r="B157" s="209" t="str">
        <f>IF(Operations!A51="","",Operations!A51)</f>
        <v>Rod Weeder</v>
      </c>
      <c r="C157" s="209" t="str">
        <f>IF(Materials!B51="","",Materials!B51)</f>
        <v>Fence/water repairs</v>
      </c>
      <c r="D157" s="209"/>
    </row>
    <row r="158" spans="2:4" x14ac:dyDescent="0.2">
      <c r="B158" s="209" t="str">
        <f>IF(Operations!A52="","",Operations!A52)</f>
        <v>Rod Weeder &amp; Fertilizer</v>
      </c>
      <c r="C158" s="209" t="str">
        <f>IF(Materials!B52="","",Materials!B52)</f>
        <v>Glyphosate w/Surf</v>
      </c>
      <c r="D158" s="209"/>
    </row>
    <row r="159" spans="2:4" x14ac:dyDescent="0.2">
      <c r="B159" s="209" t="str">
        <f>IF(Operations!A53="","",Operations!A53)</f>
        <v>Roll</v>
      </c>
      <c r="C159" s="209" t="str">
        <f>IF(Materials!B53="","",Materials!B53)</f>
        <v>Gramoxone SL</v>
      </c>
      <c r="D159" s="209"/>
    </row>
    <row r="160" spans="2:4" x14ac:dyDescent="0.2">
      <c r="B160" s="209" t="str">
        <f>IF(Operations!A54="","",Operations!A54)</f>
        <v>Roller Harrow</v>
      </c>
      <c r="C160" s="209" t="str">
        <f>IF(Materials!B54="","",Materials!B54)</f>
        <v>Grass Drill</v>
      </c>
      <c r="D160" s="209"/>
    </row>
    <row r="161" spans="2:4" x14ac:dyDescent="0.2">
      <c r="B161" s="209" t="str">
        <f>IF(Operations!A55="","",Operations!A55)</f>
        <v>Row Crop Cultivation</v>
      </c>
      <c r="C161" s="209" t="str">
        <f>IF(Materials!B55="","",Materials!B55)</f>
        <v>Grass Seed</v>
      </c>
      <c r="D161" s="209"/>
    </row>
    <row r="162" spans="2:4" x14ac:dyDescent="0.2">
      <c r="B162" s="209" t="str">
        <f>IF(Operations!A56="","",Operations!A56)</f>
        <v>Seeder/Packer</v>
      </c>
      <c r="C162" s="209" t="str">
        <f>IF(Materials!B56="","",Materials!B56)</f>
        <v>Haul &amp; Apply Manure</v>
      </c>
      <c r="D162" s="209"/>
    </row>
    <row r="163" spans="2:4" x14ac:dyDescent="0.2">
      <c r="B163" s="209" t="str">
        <f>IF(Operations!A57="","",Operations!A57)</f>
        <v>Spray</v>
      </c>
      <c r="C163" s="209" t="str">
        <f>IF(Materials!B57="","",Materials!B57)</f>
        <v>Haul Beets</v>
      </c>
      <c r="D163" s="209"/>
    </row>
    <row r="164" spans="2:4" x14ac:dyDescent="0.2">
      <c r="B164" s="209" t="str">
        <f>IF(Operations!A58="","",Operations!A58)</f>
        <v>Spray (on Disk)</v>
      </c>
      <c r="C164" s="209" t="str">
        <f>IF(Materials!B58="","",Materials!B58)</f>
        <v>Haul Grain (Dry Beans)</v>
      </c>
      <c r="D164" s="209"/>
    </row>
    <row r="165" spans="2:4" x14ac:dyDescent="0.2">
      <c r="B165" s="209" t="str">
        <f>IF(Operations!A59="","",Operations!A59)</f>
        <v>Spray (on Field Cultivator)</v>
      </c>
      <c r="C165" s="209" t="str">
        <f>IF(Materials!B59="","",Materials!B59)</f>
        <v>Haul Grain (Millet)</v>
      </c>
      <c r="D165" s="209"/>
    </row>
    <row r="166" spans="2:4" x14ac:dyDescent="0.2">
      <c r="B166" s="209" t="str">
        <f>IF(Operations!A60="","",Operations!A60)</f>
        <v>Spray (Prior Year Stubble)</v>
      </c>
      <c r="C166" s="209" t="str">
        <f>IF(Materials!B60="","",Materials!B60)</f>
        <v>Haul Grain (Sunflower)</v>
      </c>
      <c r="D166" s="209"/>
    </row>
    <row r="167" spans="2:4" x14ac:dyDescent="0.2">
      <c r="B167" s="209" t="str">
        <f>IF(Operations!A61="","",Operations!A61)</f>
        <v>Spray Fertilizer</v>
      </c>
      <c r="C167" s="209" t="str">
        <f>IF(Materials!B61="","",Materials!B61)</f>
        <v>Haul Grain bu</v>
      </c>
      <c r="D167" s="209"/>
    </row>
    <row r="168" spans="2:4" x14ac:dyDescent="0.2">
      <c r="B168" s="209" t="str">
        <f>IF(Operations!A62="","",Operations!A62)</f>
        <v>Spray fertilizer and herbicide</v>
      </c>
      <c r="C168" s="209" t="str">
        <f>IF(Materials!B62="","",Materials!B62)</f>
        <v>Headline AMP</v>
      </c>
      <c r="D168" s="209"/>
    </row>
    <row r="169" spans="2:4" x14ac:dyDescent="0.2">
      <c r="B169" s="209" t="str">
        <f>IF(Operations!A63="","",Operations!A63)</f>
        <v>Spread manure</v>
      </c>
      <c r="C169" s="209" t="str">
        <f>IF(Materials!B63="","",Materials!B63)</f>
        <v>Huskie</v>
      </c>
      <c r="D169" s="209"/>
    </row>
    <row r="170" spans="2:4" x14ac:dyDescent="0.2">
      <c r="B170" s="209" t="str">
        <f>IF(Operations!A64="","",Operations!A64)</f>
        <v>Spread, Fertilizer</v>
      </c>
      <c r="C170" s="209" t="str">
        <f>IF(Materials!B64="","",Materials!B64)</f>
        <v>Irrigation District O&amp;M Charge</v>
      </c>
      <c r="D170" s="209"/>
    </row>
    <row r="171" spans="2:4" x14ac:dyDescent="0.2">
      <c r="B171" s="209" t="str">
        <f>IF(Operations!A65="","",Operations!A65)</f>
        <v>Sm Sq Bale</v>
      </c>
      <c r="C171" s="209" t="str">
        <f>IF(Materials!B65="","",Materials!B65)</f>
        <v>Landmaster BW</v>
      </c>
      <c r="D171" s="209"/>
    </row>
    <row r="172" spans="2:4" x14ac:dyDescent="0.2">
      <c r="B172" s="209" t="str">
        <f>IF(Operations!A66="","",Operations!A66)</f>
        <v>Stack Sm Sq</v>
      </c>
      <c r="C172" s="209" t="str">
        <f>IF(Materials!B66="","",Materials!B66)</f>
        <v>Laudis</v>
      </c>
      <c r="D172" s="209"/>
    </row>
    <row r="173" spans="2:4" x14ac:dyDescent="0.2">
      <c r="B173" s="209" t="str">
        <f>IF(Operations!A67="","",Operations!A67)</f>
        <v>Subsoil</v>
      </c>
      <c r="C173" s="209" t="str">
        <f>IF(Materials!B67="","",Materials!B67)</f>
        <v>Load Large Square Bales</v>
      </c>
      <c r="D173" s="209"/>
    </row>
    <row r="174" spans="2:4" x14ac:dyDescent="0.2">
      <c r="B174" s="209" t="str">
        <f>IF(Operations!A68="","",Operations!A68)</f>
        <v>Till Plant Beets</v>
      </c>
      <c r="C174" s="209" t="str">
        <f>IF(Materials!B68="","",Materials!B68)</f>
        <v>Lorsban 15 G</v>
      </c>
      <c r="D174" s="209"/>
    </row>
    <row r="175" spans="2:4" x14ac:dyDescent="0.2">
      <c r="B175" s="209" t="str">
        <f>IF(Operations!A69="","",Operations!A69)</f>
        <v>Top Beets</v>
      </c>
      <c r="C175" s="209" t="str">
        <f>IF(Materials!B69="","",Materials!B69)</f>
        <v>Lorsban 4 E</v>
      </c>
      <c r="D175" s="209"/>
    </row>
    <row r="176" spans="2:4" x14ac:dyDescent="0.2">
      <c r="B176" s="209" t="str">
        <f>IF(Operations!A70="","",Operations!A70)</f>
        <v>Truck</v>
      </c>
      <c r="C176" s="209" t="str">
        <f>IF(Materials!B70="","",Materials!B70)</f>
        <v>Lumax EZ</v>
      </c>
      <c r="D176" s="209"/>
    </row>
    <row r="177" spans="2:4" x14ac:dyDescent="0.2">
      <c r="B177" s="209" t="str">
        <f>IF(Operations!A71="","",Operations!A71)</f>
        <v>Turn Windrows</v>
      </c>
      <c r="C177" s="209" t="str">
        <f>IF(Materials!B71="","",Materials!B71)</f>
        <v>Millet</v>
      </c>
      <c r="D177" s="209"/>
    </row>
    <row r="178" spans="2:4" x14ac:dyDescent="0.2">
      <c r="B178" s="209" t="str">
        <f>IF(Operations!A72="","",Operations!A72)</f>
        <v>Swath/Cond Hay</v>
      </c>
      <c r="C178" s="209" t="str">
        <f>IF(Materials!B72="","",Materials!B72)</f>
        <v>Move Cattle</v>
      </c>
      <c r="D178" s="209"/>
    </row>
    <row r="179" spans="2:4" x14ac:dyDescent="0.2">
      <c r="B179" s="209" t="str">
        <f>IF(Operations!A73="","",Operations!A73)</f>
        <v>Windrow Grain</v>
      </c>
      <c r="C179" s="209" t="str">
        <f>IF(Materials!B73="","",Materials!B73)</f>
        <v>Mustang Max EC</v>
      </c>
      <c r="D179" s="209"/>
    </row>
    <row r="180" spans="2:4" x14ac:dyDescent="0.2">
      <c r="B180" s="209" t="str">
        <f>IF(Operations!A74="","",Operations!A74)</f>
        <v/>
      </c>
      <c r="C180" s="209" t="str">
        <f>IF(Materials!B74="","",Materials!B74)</f>
        <v>NIS</v>
      </c>
      <c r="D180" s="209"/>
    </row>
    <row r="181" spans="2:4" x14ac:dyDescent="0.2">
      <c r="B181" s="209" t="str">
        <f>IF(Operations!A75="","",Operations!A75)</f>
        <v/>
      </c>
      <c r="C181" s="209" t="str">
        <f>IF(Materials!B75="","",Materials!B75)</f>
        <v>Oats</v>
      </c>
      <c r="D181" s="209"/>
    </row>
    <row r="182" spans="2:4" x14ac:dyDescent="0.2">
      <c r="B182" s="209" t="str">
        <f>IF(Operations!A76="","",Operations!A76)</f>
        <v/>
      </c>
      <c r="C182" s="209" t="str">
        <f>IF(Materials!B76="","",Materials!B76)</f>
        <v>Outlook</v>
      </c>
      <c r="D182" s="209"/>
    </row>
    <row r="183" spans="2:4" x14ac:dyDescent="0.2">
      <c r="B183" s="209" t="str">
        <f>IF(Operations!A77="","",Operations!A77)</f>
        <v/>
      </c>
      <c r="C183" s="209" t="str">
        <f>IF(Materials!B77="","",Materials!B77)</f>
        <v>Pea Seed Innoculent</v>
      </c>
      <c r="D183" s="209"/>
    </row>
    <row r="184" spans="2:4" x14ac:dyDescent="0.2">
      <c r="B184" s="209" t="str">
        <f>IF(Operations!A78="","",Operations!A78)</f>
        <v/>
      </c>
      <c r="C184" s="209" t="str">
        <f>IF(Materials!B78="","",Materials!B78)</f>
        <v>Peak</v>
      </c>
      <c r="D184" s="209"/>
    </row>
    <row r="185" spans="2:4" x14ac:dyDescent="0.2">
      <c r="B185" s="209" t="str">
        <f>IF(Operations!A79="","",Operations!A79)</f>
        <v/>
      </c>
      <c r="C185" s="209" t="str">
        <f>IF(Materials!B79="","",Materials!B79)</f>
        <v>Peas</v>
      </c>
      <c r="D185" s="209"/>
    </row>
    <row r="186" spans="2:4" x14ac:dyDescent="0.2">
      <c r="B186" s="209" t="str">
        <f>IF(Operations!A80="","",Operations!A80)</f>
        <v/>
      </c>
      <c r="C186" s="209" t="str">
        <f>IF(Materials!B80="","",Materials!B80)</f>
        <v>Priaxor</v>
      </c>
      <c r="D186" s="209"/>
    </row>
    <row r="187" spans="2:4" x14ac:dyDescent="0.2">
      <c r="B187" s="209" t="str">
        <f>IF(Operations!A81="","",Operations!A81)</f>
        <v/>
      </c>
      <c r="C187" s="209" t="str">
        <f>IF(Materials!B81="","",Materials!B81)</f>
        <v>Prowl H2O</v>
      </c>
      <c r="D187" s="209"/>
    </row>
    <row r="188" spans="2:4" x14ac:dyDescent="0.2">
      <c r="B188" s="209" t="str">
        <f>IF(Operations!A82="","",Operations!A82)</f>
        <v/>
      </c>
      <c r="C188" s="209" t="str">
        <f>IF(Materials!B82="","",Materials!B82)</f>
        <v xml:space="preserve">Pursuit </v>
      </c>
      <c r="D188" s="209"/>
    </row>
    <row r="189" spans="2:4" x14ac:dyDescent="0.2">
      <c r="B189" s="209" t="str">
        <f>IF(Operations!A83="","",Operations!A83)</f>
        <v/>
      </c>
      <c r="C189" s="209" t="str">
        <f>IF(Materials!B83="","",Materials!B83)</f>
        <v>Quadris</v>
      </c>
      <c r="D189" s="209"/>
    </row>
    <row r="190" spans="2:4" x14ac:dyDescent="0.2">
      <c r="B190" s="209" t="str">
        <f>IF(Operations!A84="","",Operations!A84)</f>
        <v/>
      </c>
      <c r="C190" s="209" t="str">
        <f>IF(Materials!B84="","",Materials!B84)</f>
        <v>Quilt Xcel</v>
      </c>
      <c r="D190" s="209"/>
    </row>
    <row r="191" spans="2:4" x14ac:dyDescent="0.2">
      <c r="B191" s="209" t="str">
        <f>IF(Operations!A85="","",Operations!A85)</f>
        <v/>
      </c>
      <c r="C191" s="209" t="str">
        <f>IF(Materials!B85="","",Materials!B85)</f>
        <v>Raptor</v>
      </c>
      <c r="D191" s="209"/>
    </row>
    <row r="192" spans="2:4" x14ac:dyDescent="0.2">
      <c r="B192" s="209" t="str">
        <f>IF(Operations!A86="","",Operations!A86)</f>
        <v/>
      </c>
      <c r="C192" s="209" t="str">
        <f>IF(Materials!B86="","",Materials!B86)</f>
        <v>Regent 4 SC</v>
      </c>
      <c r="D192" s="209"/>
    </row>
    <row r="193" spans="2:4" x14ac:dyDescent="0.2">
      <c r="B193" s="209" t="str">
        <f>IF(Operations!A87="","",Operations!A87)</f>
        <v/>
      </c>
      <c r="C193" s="209" t="str">
        <f>IF(Materials!B87="","",Materials!B87)</f>
        <v>Roundup WeatherMax</v>
      </c>
      <c r="D193" s="209"/>
    </row>
    <row r="194" spans="2:4" x14ac:dyDescent="0.2">
      <c r="B194" s="209" t="str">
        <f>IF(Operations!A88="","",Operations!A88)</f>
        <v/>
      </c>
      <c r="C194" s="209" t="str">
        <f>IF(Materials!B88="","",Materials!B88)</f>
        <v>RR Soybeans</v>
      </c>
      <c r="D194" s="209"/>
    </row>
    <row r="195" spans="2:4" x14ac:dyDescent="0.2">
      <c r="B195" s="209" t="str">
        <f>IF(Operations!A89="","",Operations!A89)</f>
        <v/>
      </c>
      <c r="C195" s="209" t="str">
        <f>IF(Materials!B89="","",Materials!B89)</f>
        <v>RR Soybeans Treated</v>
      </c>
      <c r="D195" s="209"/>
    </row>
    <row r="196" spans="2:4" x14ac:dyDescent="0.2">
      <c r="B196" s="209" t="str">
        <f>IF(Operations!A90="","",Operations!A90)</f>
        <v/>
      </c>
      <c r="C196" s="209" t="str">
        <f>IF(Materials!B90="","",Materials!B90)</f>
        <v>RR2 Soybeans</v>
      </c>
      <c r="D196" s="209"/>
    </row>
    <row r="197" spans="2:4" x14ac:dyDescent="0.2">
      <c r="B197" s="209" t="str">
        <f>IF(Operations!A91="","",Operations!A91)</f>
        <v/>
      </c>
      <c r="C197" s="209" t="str">
        <f>IF(Materials!B91="","",Materials!B91)</f>
        <v>RR2 Soybeans Treated</v>
      </c>
      <c r="D197" s="209"/>
    </row>
    <row r="198" spans="2:4" x14ac:dyDescent="0.2">
      <c r="B198" s="209" t="str">
        <f>IF(Operations!A92="","",Operations!A92)</f>
        <v/>
      </c>
      <c r="C198" s="209" t="str">
        <f>IF(Materials!B92="","",Materials!B92)</f>
        <v>Rugged</v>
      </c>
      <c r="D198" s="209"/>
    </row>
    <row r="199" spans="2:4" x14ac:dyDescent="0.2">
      <c r="B199" s="209" t="str">
        <f>IF(Operations!A93="","",Operations!A93)</f>
        <v/>
      </c>
      <c r="C199" s="209" t="str">
        <f>IF(Materials!B93="","",Materials!B93)</f>
        <v>Scouting Drybeans</v>
      </c>
      <c r="D199" s="209"/>
    </row>
    <row r="200" spans="2:4" x14ac:dyDescent="0.2">
      <c r="B200" s="209" t="str">
        <f>IF(Operations!A94="","",Operations!A94)</f>
        <v/>
      </c>
      <c r="C200" s="209" t="str">
        <f>IF(Materials!B94="","",Materials!B94)</f>
        <v>Scouting Dryland Corn</v>
      </c>
      <c r="D200" s="209"/>
    </row>
    <row r="201" spans="2:4" x14ac:dyDescent="0.2">
      <c r="B201" s="209" t="str">
        <f>IF(Operations!A95="","",Operations!A95)</f>
        <v/>
      </c>
      <c r="C201" s="209" t="str">
        <f>IF(Materials!B95="","",Materials!B95)</f>
        <v>Scouting Dryland Soybeans</v>
      </c>
      <c r="D201" s="209"/>
    </row>
    <row r="202" spans="2:4" x14ac:dyDescent="0.2">
      <c r="B202" s="209" t="str">
        <f>IF(Operations!A96="","",Operations!A96)</f>
        <v/>
      </c>
      <c r="C202" s="209" t="str">
        <f>IF(Materials!B96="","",Materials!B96)</f>
        <v>Scouting Grain Sorghum</v>
      </c>
      <c r="D202" s="209"/>
    </row>
    <row r="203" spans="2:4" x14ac:dyDescent="0.2">
      <c r="B203" s="209" t="str">
        <f>IF(Operations!A97="","",Operations!A97)</f>
        <v/>
      </c>
      <c r="C203" s="209" t="str">
        <f>IF(Materials!B97="","",Materials!B97)</f>
        <v>Scouting Irrigated Corn</v>
      </c>
      <c r="D203" s="209"/>
    </row>
    <row r="204" spans="2:4" x14ac:dyDescent="0.2">
      <c r="B204" s="209" t="str">
        <f>IF(Operations!A98="","",Operations!A98)</f>
        <v/>
      </c>
      <c r="C204" s="209" t="str">
        <f>IF(Materials!B98="","",Materials!B98)</f>
        <v>Scouting Irrigated SB</v>
      </c>
      <c r="D204" s="209"/>
    </row>
    <row r="205" spans="2:4" x14ac:dyDescent="0.2">
      <c r="B205" s="209" t="str">
        <f>IF(Operations!A99="","",Operations!A99)</f>
        <v/>
      </c>
      <c r="C205" s="209" t="str">
        <f>IF(Materials!B99="","",Materials!B99)</f>
        <v>Scouting Sugar Beets</v>
      </c>
      <c r="D205" s="209"/>
    </row>
    <row r="206" spans="2:4" x14ac:dyDescent="0.2">
      <c r="B206" s="209" t="str">
        <f>IF(Operations!A100="","",Operations!A100)</f>
        <v/>
      </c>
      <c r="C206" s="209" t="str">
        <f>IF(Materials!B100="","",Materials!B100)</f>
        <v>Scouting Wheat</v>
      </c>
      <c r="D206" s="209"/>
    </row>
    <row r="207" spans="2:4" x14ac:dyDescent="0.2">
      <c r="B207" s="209" t="str">
        <f>IF(Operations!A101="","",Operations!A101)</f>
        <v/>
      </c>
      <c r="C207" s="209" t="str">
        <f>IF(Materials!B101="","",Materials!B101)</f>
        <v>Seeder-Packer</v>
      </c>
      <c r="D207" s="209"/>
    </row>
    <row r="208" spans="2:4" x14ac:dyDescent="0.2">
      <c r="C208" s="209" t="str">
        <f>IF(Materials!B102="","",Materials!B102)</f>
        <v>Select Max</v>
      </c>
      <c r="D208" s="209"/>
    </row>
    <row r="209" spans="3:4" x14ac:dyDescent="0.2">
      <c r="C209" s="209" t="str">
        <f>IF(Materials!B103="","",Materials!B103)</f>
        <v>Sharpen</v>
      </c>
      <c r="D209" s="209"/>
    </row>
    <row r="210" spans="3:4" x14ac:dyDescent="0.2">
      <c r="C210" s="209" t="str">
        <f>IF(Materials!B104="","",Materials!B104)</f>
        <v>Sorghum Safened/Insect</v>
      </c>
      <c r="D210" s="209"/>
    </row>
    <row r="211" spans="3:4" x14ac:dyDescent="0.2">
      <c r="C211" s="209" t="str">
        <f>IF(Materials!B105="","",Materials!B105)</f>
        <v>Sorghum Sudan</v>
      </c>
      <c r="D211" s="209"/>
    </row>
    <row r="212" spans="3:4" x14ac:dyDescent="0.2">
      <c r="C212" s="209" t="str">
        <f>IF(Materials!B106="","",Materials!B106)</f>
        <v>Spartan 4F</v>
      </c>
      <c r="D212" s="209"/>
    </row>
    <row r="213" spans="3:4" x14ac:dyDescent="0.2">
      <c r="C213" s="209" t="str">
        <f>IF(Materials!B107="","",Materials!B107)</f>
        <v>Spirit</v>
      </c>
      <c r="D213" s="209"/>
    </row>
    <row r="214" spans="3:4" x14ac:dyDescent="0.2">
      <c r="C214" s="209" t="str">
        <f>IF(Materials!B108="","",Materials!B108)</f>
        <v>Spray</v>
      </c>
      <c r="D214" s="209"/>
    </row>
    <row r="215" spans="3:4" x14ac:dyDescent="0.2">
      <c r="C215" s="209" t="str">
        <f>IF(Materials!B109="","",Materials!B109)</f>
        <v>Status</v>
      </c>
      <c r="D215" s="209"/>
    </row>
    <row r="216" spans="3:4" x14ac:dyDescent="0.2">
      <c r="C216" s="209" t="str">
        <f>IF(Materials!B110="","",Materials!B110)</f>
        <v>Stratego YLD</v>
      </c>
      <c r="D216" s="209"/>
    </row>
    <row r="217" spans="3:4" x14ac:dyDescent="0.2">
      <c r="C217" s="209" t="str">
        <f>IF(Materials!B111="","",Materials!B111)</f>
        <v>Sugar Beets RR Poncho</v>
      </c>
      <c r="D217" s="209"/>
    </row>
    <row r="218" spans="3:4" x14ac:dyDescent="0.2">
      <c r="C218" s="209" t="str">
        <f>IF(Materials!B112="","",Materials!B112)</f>
        <v>Sunflower</v>
      </c>
      <c r="D218" s="209"/>
    </row>
    <row r="219" spans="3:4" x14ac:dyDescent="0.2">
      <c r="C219" s="209" t="str">
        <f>IF(Materials!B113="","",Materials!B113)</f>
        <v>Tilt</v>
      </c>
      <c r="D219" s="209"/>
    </row>
    <row r="220" spans="3:4" x14ac:dyDescent="0.2">
      <c r="C220" s="209" t="str">
        <f>IF(Materials!B114="","",Materials!B114)</f>
        <v>Twine Lg Rd</v>
      </c>
      <c r="D220" s="209"/>
    </row>
    <row r="221" spans="3:4" x14ac:dyDescent="0.2">
      <c r="C221" s="209" t="str">
        <f>IF(Materials!B115="","",Materials!B115)</f>
        <v>Twine Lg Sq</v>
      </c>
      <c r="D221" s="209"/>
    </row>
    <row r="222" spans="3:4" x14ac:dyDescent="0.2">
      <c r="C222" s="209" t="str">
        <f>IF(Materials!B116="","",Materials!B116)</f>
        <v>Twine Sm Sq</v>
      </c>
      <c r="D222" s="209"/>
    </row>
    <row r="223" spans="3:4" x14ac:dyDescent="0.2">
      <c r="C223" s="209" t="str">
        <f>IF(Materials!B117="","",Materials!B117)</f>
        <v>Uncomposted manure</v>
      </c>
      <c r="D223" s="209"/>
    </row>
    <row r="224" spans="3:4" x14ac:dyDescent="0.2">
      <c r="C224" s="209" t="str">
        <f>IF(Materials!B119="","",Materials!B119)</f>
        <v>Velpar 75DF</v>
      </c>
      <c r="D224" s="209"/>
    </row>
    <row r="225" spans="3:4" x14ac:dyDescent="0.2">
      <c r="C225" s="209" t="str">
        <f>IF(Materials!B120="","",Materials!B120)</f>
        <v>Vida</v>
      </c>
      <c r="D225" s="209"/>
    </row>
    <row r="226" spans="3:4" x14ac:dyDescent="0.2">
      <c r="C226" s="209" t="str">
        <f>IF(Materials!B121="","",Materials!B121)</f>
        <v>Warrior II/Zeon</v>
      </c>
      <c r="D226" s="209"/>
    </row>
  </sheetData>
  <mergeCells count="43">
    <mergeCell ref="L33:L34"/>
    <mergeCell ref="C35:E35"/>
    <mergeCell ref="A5:L5"/>
    <mergeCell ref="B8:B9"/>
    <mergeCell ref="C8:C9"/>
    <mergeCell ref="E8:E9"/>
    <mergeCell ref="F8:F9"/>
    <mergeCell ref="G8:H8"/>
    <mergeCell ref="I8:J8"/>
    <mergeCell ref="K8:K9"/>
    <mergeCell ref="L8:L9"/>
    <mergeCell ref="C41:E41"/>
    <mergeCell ref="F33:F34"/>
    <mergeCell ref="G33:G34"/>
    <mergeCell ref="H33:I33"/>
    <mergeCell ref="J33:J34"/>
    <mergeCell ref="C36:E36"/>
    <mergeCell ref="C37:E37"/>
    <mergeCell ref="C38:E38"/>
    <mergeCell ref="C39:E39"/>
    <mergeCell ref="C40:E40"/>
    <mergeCell ref="C53:E53"/>
    <mergeCell ref="C42:E42"/>
    <mergeCell ref="C43:E43"/>
    <mergeCell ref="C44:E44"/>
    <mergeCell ref="C45:E45"/>
    <mergeCell ref="C46:E46"/>
    <mergeCell ref="C47:E47"/>
    <mergeCell ref="C48:E48"/>
    <mergeCell ref="C49:E49"/>
    <mergeCell ref="C50:E50"/>
    <mergeCell ref="C51:E51"/>
    <mergeCell ref="C52:E52"/>
    <mergeCell ref="F64:G64"/>
    <mergeCell ref="C68:E68"/>
    <mergeCell ref="G68:H68"/>
    <mergeCell ref="G69:H69"/>
    <mergeCell ref="C54:E54"/>
    <mergeCell ref="C55:E55"/>
    <mergeCell ref="C56:E56"/>
    <mergeCell ref="C57:E57"/>
    <mergeCell ref="C58:E58"/>
    <mergeCell ref="C59:E59"/>
  </mergeCells>
  <dataValidations count="7">
    <dataValidation type="list" allowBlank="1" showInputMessage="1" showErrorMessage="1" sqref="K6">
      <formula1>$K$108:$K$110</formula1>
    </dataValidation>
    <dataValidation type="list" allowBlank="1" showInputMessage="1" showErrorMessage="1" sqref="B59">
      <formula1>$H$108:$H$123</formula1>
    </dataValidation>
    <dataValidation type="list" allowBlank="1" showInputMessage="1" showErrorMessage="1" sqref="B10:B29">
      <formula1>$B$108:$B$206</formula1>
    </dataValidation>
    <dataValidation type="list" allowBlank="1" showInputMessage="1" showErrorMessage="1" sqref="D10:D30">
      <formula1>$O$2:$O$4</formula1>
    </dataValidation>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s>
  <pageMargins left="0.7" right="0.7" top="0.75" bottom="0.75" header="0.3" footer="0.3"/>
  <pageSetup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J126"/>
  <sheetViews>
    <sheetView workbookViewId="0">
      <selection sqref="A1:I1"/>
    </sheetView>
  </sheetViews>
  <sheetFormatPr defaultRowHeight="12.75" x14ac:dyDescent="0.2"/>
  <cols>
    <col min="1" max="1" width="9.140625" style="151"/>
    <col min="2" max="2" width="26.85546875" style="151" customWidth="1"/>
    <col min="3" max="3" width="13.85546875" style="151" customWidth="1"/>
    <col min="4" max="4" width="9.5703125" style="151" customWidth="1"/>
    <col min="5" max="5" width="9.28515625" style="151" customWidth="1"/>
    <col min="6" max="6" width="13.28515625" style="151" customWidth="1"/>
    <col min="7" max="7" width="16" style="152" customWidth="1"/>
    <col min="8" max="8" width="9.42578125" style="151" customWidth="1"/>
    <col min="9" max="16384" width="9.140625" style="151"/>
  </cols>
  <sheetData>
    <row r="1" spans="1:10" s="150" customFormat="1" ht="26.25" customHeight="1" x14ac:dyDescent="0.2">
      <c r="A1" s="148" t="s">
        <v>465</v>
      </c>
      <c r="B1" s="149" t="s">
        <v>4</v>
      </c>
      <c r="C1" s="149" t="s">
        <v>5</v>
      </c>
      <c r="D1" s="149" t="s">
        <v>66</v>
      </c>
      <c r="E1" s="149" t="s">
        <v>67</v>
      </c>
      <c r="F1" s="149" t="s">
        <v>68</v>
      </c>
      <c r="G1" s="149" t="s">
        <v>70</v>
      </c>
      <c r="H1" s="149" t="s">
        <v>69</v>
      </c>
    </row>
    <row r="2" spans="1:10" ht="12.75" customHeight="1" x14ac:dyDescent="0.2">
      <c r="A2" s="151">
        <v>1</v>
      </c>
      <c r="B2" s="175" t="s">
        <v>6</v>
      </c>
      <c r="C2" s="157" t="s">
        <v>7</v>
      </c>
      <c r="D2" s="158">
        <v>3.3</v>
      </c>
      <c r="E2" s="159" t="s">
        <v>437</v>
      </c>
      <c r="F2" s="157" t="s">
        <v>437</v>
      </c>
      <c r="G2" s="156">
        <v>1</v>
      </c>
      <c r="H2" s="153">
        <f t="shared" ref="H2:H33" si="0">IF(G2=0,0,D2/G2)</f>
        <v>3.3</v>
      </c>
    </row>
    <row r="3" spans="1:10" ht="12.75" customHeight="1" x14ac:dyDescent="0.2">
      <c r="A3" s="151">
        <v>2</v>
      </c>
      <c r="B3" s="167" t="s">
        <v>8</v>
      </c>
      <c r="C3" s="168" t="s">
        <v>7</v>
      </c>
      <c r="D3" s="169">
        <v>3.35</v>
      </c>
      <c r="E3" s="170" t="s">
        <v>437</v>
      </c>
      <c r="F3" s="168" t="s">
        <v>437</v>
      </c>
      <c r="G3" s="166">
        <v>1</v>
      </c>
      <c r="H3" s="153">
        <f t="shared" si="0"/>
        <v>3.35</v>
      </c>
      <c r="J3" s="154"/>
    </row>
    <row r="4" spans="1:10" ht="12.75" customHeight="1" x14ac:dyDescent="0.2">
      <c r="A4" s="151">
        <v>3</v>
      </c>
      <c r="B4" s="173" t="s">
        <v>9</v>
      </c>
      <c r="C4" s="155" t="s">
        <v>7</v>
      </c>
      <c r="D4" s="75">
        <v>0.3</v>
      </c>
      <c r="E4" s="155" t="s">
        <v>438</v>
      </c>
      <c r="F4" s="155" t="s">
        <v>438</v>
      </c>
      <c r="G4" s="156">
        <v>1</v>
      </c>
      <c r="H4" s="153">
        <f t="shared" si="0"/>
        <v>0.3</v>
      </c>
      <c r="J4" s="154"/>
    </row>
    <row r="5" spans="1:10" ht="12.75" customHeight="1" x14ac:dyDescent="0.2">
      <c r="A5" s="151">
        <v>4</v>
      </c>
      <c r="B5" s="167" t="s">
        <v>10</v>
      </c>
      <c r="C5" s="168" t="s">
        <v>11</v>
      </c>
      <c r="D5" s="171">
        <v>16</v>
      </c>
      <c r="E5" s="165" t="s">
        <v>437</v>
      </c>
      <c r="F5" s="168" t="s">
        <v>440</v>
      </c>
      <c r="G5" s="166">
        <v>8</v>
      </c>
      <c r="H5" s="153">
        <f t="shared" si="0"/>
        <v>2</v>
      </c>
      <c r="J5" s="154"/>
    </row>
    <row r="6" spans="1:10" ht="12.75" customHeight="1" x14ac:dyDescent="0.2">
      <c r="A6" s="151">
        <v>5</v>
      </c>
      <c r="B6" s="167" t="s">
        <v>12</v>
      </c>
      <c r="C6" s="168" t="s">
        <v>11</v>
      </c>
      <c r="D6" s="171">
        <v>21.5</v>
      </c>
      <c r="E6" s="165" t="s">
        <v>437</v>
      </c>
      <c r="F6" s="168" t="s">
        <v>440</v>
      </c>
      <c r="G6" s="166">
        <v>8</v>
      </c>
      <c r="H6" s="153">
        <f t="shared" si="0"/>
        <v>2.6875</v>
      </c>
      <c r="J6" s="154"/>
    </row>
    <row r="7" spans="1:10" ht="12.75" customHeight="1" x14ac:dyDescent="0.2">
      <c r="A7" s="151">
        <v>6</v>
      </c>
      <c r="B7" s="174" t="s">
        <v>496</v>
      </c>
      <c r="C7" s="157" t="s">
        <v>528</v>
      </c>
      <c r="D7" s="158">
        <v>0.33</v>
      </c>
      <c r="E7" s="159" t="s">
        <v>438</v>
      </c>
      <c r="F7" s="161" t="s">
        <v>438</v>
      </c>
      <c r="G7" s="156">
        <v>1</v>
      </c>
      <c r="H7" s="153">
        <f t="shared" si="0"/>
        <v>0.33</v>
      </c>
      <c r="J7" s="154"/>
    </row>
    <row r="8" spans="1:10" ht="12.75" customHeight="1" x14ac:dyDescent="0.2">
      <c r="A8" s="151">
        <v>7</v>
      </c>
      <c r="B8" s="167" t="s">
        <v>13</v>
      </c>
      <c r="C8" s="168" t="s">
        <v>7</v>
      </c>
      <c r="D8" s="169">
        <v>1.7</v>
      </c>
      <c r="E8" s="170" t="s">
        <v>437</v>
      </c>
      <c r="F8" s="172" t="s">
        <v>444</v>
      </c>
      <c r="G8" s="166">
        <v>3</v>
      </c>
      <c r="H8" s="153">
        <f t="shared" si="0"/>
        <v>0.56666666666666665</v>
      </c>
      <c r="J8" s="154"/>
    </row>
    <row r="9" spans="1:10" ht="12.75" customHeight="1" x14ac:dyDescent="0.2">
      <c r="A9" s="151">
        <v>8</v>
      </c>
      <c r="B9" s="164" t="s">
        <v>446</v>
      </c>
      <c r="C9" s="165" t="s">
        <v>7</v>
      </c>
      <c r="D9" s="75">
        <v>0.55000000000000004</v>
      </c>
      <c r="E9" s="165" t="s">
        <v>444</v>
      </c>
      <c r="F9" s="165" t="s">
        <v>444</v>
      </c>
      <c r="G9" s="166">
        <v>1</v>
      </c>
      <c r="H9" s="153">
        <f t="shared" si="0"/>
        <v>0.55000000000000004</v>
      </c>
      <c r="J9" s="154"/>
    </row>
    <row r="10" spans="1:10" ht="12.75" customHeight="1" x14ac:dyDescent="0.2">
      <c r="A10" s="151">
        <v>9</v>
      </c>
      <c r="B10" s="190" t="s">
        <v>558</v>
      </c>
      <c r="C10" s="187" t="s">
        <v>7</v>
      </c>
      <c r="D10" s="75">
        <v>0.55000000000000004</v>
      </c>
      <c r="E10" s="187" t="s">
        <v>444</v>
      </c>
      <c r="F10" s="165" t="s">
        <v>444</v>
      </c>
      <c r="G10" s="166">
        <v>1</v>
      </c>
      <c r="H10" s="153">
        <f t="shared" si="0"/>
        <v>0.55000000000000004</v>
      </c>
      <c r="J10" s="154"/>
    </row>
    <row r="11" spans="1:10" ht="12.75" customHeight="1" x14ac:dyDescent="0.2">
      <c r="A11" s="151">
        <v>10</v>
      </c>
      <c r="B11" s="190" t="s">
        <v>538</v>
      </c>
      <c r="C11" s="187" t="s">
        <v>7</v>
      </c>
      <c r="D11" s="75">
        <v>0.55000000000000004</v>
      </c>
      <c r="E11" s="187" t="s">
        <v>444</v>
      </c>
      <c r="F11" s="165" t="s">
        <v>444</v>
      </c>
      <c r="G11" s="166">
        <v>1</v>
      </c>
      <c r="H11" s="153">
        <f t="shared" si="0"/>
        <v>0.55000000000000004</v>
      </c>
      <c r="J11" s="154"/>
    </row>
    <row r="12" spans="1:10" ht="12.75" customHeight="1" x14ac:dyDescent="0.2">
      <c r="A12" s="151">
        <v>11</v>
      </c>
      <c r="B12" s="174" t="s">
        <v>599</v>
      </c>
      <c r="C12" s="157" t="s">
        <v>528</v>
      </c>
      <c r="D12" s="158">
        <v>1.95</v>
      </c>
      <c r="E12" s="159" t="s">
        <v>437</v>
      </c>
      <c r="F12" s="157" t="s">
        <v>441</v>
      </c>
      <c r="G12" s="156">
        <v>5</v>
      </c>
      <c r="H12" s="153">
        <f t="shared" si="0"/>
        <v>0.39</v>
      </c>
      <c r="J12" s="154"/>
    </row>
    <row r="13" spans="1:10" ht="12.75" customHeight="1" x14ac:dyDescent="0.2">
      <c r="A13" s="151">
        <v>12</v>
      </c>
      <c r="B13" s="167" t="s">
        <v>14</v>
      </c>
      <c r="C13" s="168" t="s">
        <v>7</v>
      </c>
      <c r="D13" s="169">
        <v>0.56999999999999995</v>
      </c>
      <c r="E13" s="170" t="s">
        <v>74</v>
      </c>
      <c r="F13" s="172" t="s">
        <v>444</v>
      </c>
      <c r="G13" s="166">
        <v>1</v>
      </c>
      <c r="H13" s="153">
        <f t="shared" si="0"/>
        <v>0.56999999999999995</v>
      </c>
      <c r="J13" s="154"/>
    </row>
    <row r="14" spans="1:10" ht="12.75" customHeight="1" x14ac:dyDescent="0.2">
      <c r="A14" s="151">
        <v>13</v>
      </c>
      <c r="B14" s="167" t="s">
        <v>15</v>
      </c>
      <c r="C14" s="168" t="s">
        <v>7</v>
      </c>
      <c r="D14" s="169">
        <v>0.46</v>
      </c>
      <c r="E14" s="168" t="s">
        <v>74</v>
      </c>
      <c r="F14" s="172" t="s">
        <v>444</v>
      </c>
      <c r="G14" s="166">
        <v>1</v>
      </c>
      <c r="H14" s="153">
        <f t="shared" si="0"/>
        <v>0.46</v>
      </c>
    </row>
    <row r="15" spans="1:10" ht="12.75" customHeight="1" x14ac:dyDescent="0.2">
      <c r="A15" s="151">
        <v>14</v>
      </c>
      <c r="B15" s="167" t="s">
        <v>16</v>
      </c>
      <c r="C15" s="168" t="s">
        <v>11</v>
      </c>
      <c r="D15" s="171">
        <v>21</v>
      </c>
      <c r="E15" s="165" t="s">
        <v>437</v>
      </c>
      <c r="F15" s="168" t="s">
        <v>441</v>
      </c>
      <c r="G15" s="166">
        <v>4</v>
      </c>
      <c r="H15" s="153">
        <f t="shared" si="0"/>
        <v>5.25</v>
      </c>
      <c r="J15" s="154"/>
    </row>
    <row r="16" spans="1:10" ht="12.75" customHeight="1" x14ac:dyDescent="0.2">
      <c r="A16" s="151">
        <v>15</v>
      </c>
      <c r="B16" s="167" t="s">
        <v>17</v>
      </c>
      <c r="C16" s="168" t="s">
        <v>3</v>
      </c>
      <c r="D16" s="169">
        <v>9.5</v>
      </c>
      <c r="E16" s="170" t="s">
        <v>71</v>
      </c>
      <c r="F16" s="168" t="s">
        <v>71</v>
      </c>
      <c r="G16" s="166">
        <v>1</v>
      </c>
      <c r="H16" s="153">
        <f t="shared" si="0"/>
        <v>9.5</v>
      </c>
      <c r="J16" s="154"/>
    </row>
    <row r="17" spans="1:10" ht="12.75" customHeight="1" x14ac:dyDescent="0.2">
      <c r="A17" s="151">
        <v>16</v>
      </c>
      <c r="B17" s="174" t="s">
        <v>470</v>
      </c>
      <c r="C17" s="157" t="s">
        <v>11</v>
      </c>
      <c r="D17" s="75">
        <v>240</v>
      </c>
      <c r="E17" s="155" t="s">
        <v>441</v>
      </c>
      <c r="F17" s="157" t="s">
        <v>439</v>
      </c>
      <c r="G17" s="156">
        <v>32</v>
      </c>
      <c r="H17" s="153">
        <f t="shared" si="0"/>
        <v>7.5</v>
      </c>
      <c r="J17" s="154"/>
    </row>
    <row r="18" spans="1:10" ht="12.75" customHeight="1" x14ac:dyDescent="0.2">
      <c r="A18" s="151">
        <v>17</v>
      </c>
      <c r="B18" s="164" t="s">
        <v>531</v>
      </c>
      <c r="C18" s="165" t="s">
        <v>19</v>
      </c>
      <c r="D18" s="75">
        <v>9</v>
      </c>
      <c r="E18" s="165" t="s">
        <v>438</v>
      </c>
      <c r="F18" s="165" t="s">
        <v>438</v>
      </c>
      <c r="G18" s="166">
        <v>1</v>
      </c>
      <c r="H18" s="153">
        <f t="shared" si="0"/>
        <v>9</v>
      </c>
    </row>
    <row r="19" spans="1:10" ht="12.75" customHeight="1" x14ac:dyDescent="0.2">
      <c r="A19" s="151">
        <v>18</v>
      </c>
      <c r="B19" s="167" t="s">
        <v>18</v>
      </c>
      <c r="C19" s="168" t="s">
        <v>19</v>
      </c>
      <c r="D19" s="169">
        <v>6</v>
      </c>
      <c r="E19" s="170" t="s">
        <v>438</v>
      </c>
      <c r="F19" s="168" t="s">
        <v>438</v>
      </c>
      <c r="G19" s="166">
        <v>1</v>
      </c>
      <c r="H19" s="153">
        <f t="shared" si="0"/>
        <v>6</v>
      </c>
      <c r="J19" s="154"/>
    </row>
    <row r="20" spans="1:10" ht="12.75" customHeight="1" x14ac:dyDescent="0.2">
      <c r="A20" s="151">
        <v>19</v>
      </c>
      <c r="B20" s="167" t="s">
        <v>489</v>
      </c>
      <c r="C20" s="168" t="s">
        <v>11</v>
      </c>
      <c r="D20" s="171">
        <v>9</v>
      </c>
      <c r="E20" s="165" t="s">
        <v>439</v>
      </c>
      <c r="F20" s="172" t="s">
        <v>439</v>
      </c>
      <c r="G20" s="166">
        <v>1</v>
      </c>
      <c r="H20" s="153">
        <f t="shared" si="0"/>
        <v>9</v>
      </c>
      <c r="J20" s="154"/>
    </row>
    <row r="21" spans="1:10" ht="12.75" customHeight="1" x14ac:dyDescent="0.2">
      <c r="A21" s="151">
        <v>20</v>
      </c>
      <c r="B21" s="164" t="s">
        <v>448</v>
      </c>
      <c r="C21" s="165" t="s">
        <v>21</v>
      </c>
      <c r="D21" s="171">
        <v>80</v>
      </c>
      <c r="E21" s="165" t="s">
        <v>437</v>
      </c>
      <c r="F21" s="165" t="s">
        <v>439</v>
      </c>
      <c r="G21" s="166">
        <v>128</v>
      </c>
      <c r="H21" s="153">
        <f t="shared" si="0"/>
        <v>0.625</v>
      </c>
      <c r="J21" s="154"/>
    </row>
    <row r="22" spans="1:10" ht="12.75" customHeight="1" x14ac:dyDescent="0.2">
      <c r="A22" s="151">
        <v>21</v>
      </c>
      <c r="B22" s="291" t="s">
        <v>595</v>
      </c>
      <c r="C22" s="168" t="s">
        <v>11</v>
      </c>
      <c r="D22" s="169">
        <v>14.5</v>
      </c>
      <c r="E22" s="170" t="s">
        <v>437</v>
      </c>
      <c r="F22" s="168" t="s">
        <v>441</v>
      </c>
      <c r="G22" s="166">
        <v>4</v>
      </c>
      <c r="H22" s="153">
        <f t="shared" si="0"/>
        <v>3.625</v>
      </c>
      <c r="J22" s="154"/>
    </row>
    <row r="23" spans="1:10" ht="12.75" customHeight="1" x14ac:dyDescent="0.2">
      <c r="A23" s="151">
        <v>22</v>
      </c>
      <c r="B23" s="190" t="s">
        <v>537</v>
      </c>
      <c r="C23" s="187" t="s">
        <v>11</v>
      </c>
      <c r="D23" s="75">
        <v>3.25</v>
      </c>
      <c r="E23" s="187" t="s">
        <v>438</v>
      </c>
      <c r="F23" s="187" t="s">
        <v>438</v>
      </c>
      <c r="G23" s="156">
        <v>1</v>
      </c>
      <c r="H23" s="153">
        <f t="shared" si="0"/>
        <v>3.25</v>
      </c>
    </row>
    <row r="24" spans="1:10" ht="12.75" customHeight="1" x14ac:dyDescent="0.2">
      <c r="A24" s="151">
        <v>23</v>
      </c>
      <c r="B24" s="178" t="s">
        <v>490</v>
      </c>
      <c r="C24" s="168" t="s">
        <v>11</v>
      </c>
      <c r="D24" s="171">
        <v>90</v>
      </c>
      <c r="E24" s="165" t="s">
        <v>438</v>
      </c>
      <c r="F24" s="168" t="s">
        <v>439</v>
      </c>
      <c r="G24" s="166">
        <v>16</v>
      </c>
      <c r="H24" s="153">
        <f t="shared" si="0"/>
        <v>5.625</v>
      </c>
      <c r="J24" s="154"/>
    </row>
    <row r="25" spans="1:10" ht="12.75" customHeight="1" x14ac:dyDescent="0.2">
      <c r="A25" s="151">
        <v>24</v>
      </c>
      <c r="B25" s="164" t="s">
        <v>399</v>
      </c>
      <c r="C25" s="165" t="s">
        <v>11</v>
      </c>
      <c r="D25" s="171">
        <v>6</v>
      </c>
      <c r="E25" s="165" t="s">
        <v>439</v>
      </c>
      <c r="F25" s="165" t="s">
        <v>439</v>
      </c>
      <c r="G25" s="166">
        <v>1</v>
      </c>
      <c r="H25" s="153">
        <f t="shared" si="0"/>
        <v>6</v>
      </c>
      <c r="J25" s="154"/>
    </row>
    <row r="26" spans="1:10" ht="12.75" customHeight="1" x14ac:dyDescent="0.2">
      <c r="A26" s="151">
        <v>25</v>
      </c>
      <c r="B26" s="175" t="s">
        <v>577</v>
      </c>
      <c r="C26" s="157" t="s">
        <v>3</v>
      </c>
      <c r="D26" s="158">
        <v>13</v>
      </c>
      <c r="E26" s="159" t="s">
        <v>72</v>
      </c>
      <c r="F26" s="157" t="s">
        <v>64</v>
      </c>
      <c r="G26" s="156">
        <f>1360/2000</f>
        <v>0.68</v>
      </c>
      <c r="H26" s="153">
        <f t="shared" si="0"/>
        <v>19.117647058823529</v>
      </c>
      <c r="J26" s="154"/>
    </row>
    <row r="27" spans="1:10" ht="12.75" customHeight="1" x14ac:dyDescent="0.2">
      <c r="A27" s="151">
        <v>26</v>
      </c>
      <c r="B27" s="164" t="s">
        <v>447</v>
      </c>
      <c r="C27" s="165" t="s">
        <v>11</v>
      </c>
      <c r="D27" s="171">
        <v>105</v>
      </c>
      <c r="E27" s="165" t="s">
        <v>437</v>
      </c>
      <c r="F27" s="165" t="s">
        <v>440</v>
      </c>
      <c r="G27" s="166">
        <v>8</v>
      </c>
      <c r="H27" s="153">
        <f t="shared" si="0"/>
        <v>13.125</v>
      </c>
      <c r="J27" s="154"/>
    </row>
    <row r="28" spans="1:10" ht="12.75" customHeight="1" x14ac:dyDescent="0.2">
      <c r="A28" s="151">
        <v>27</v>
      </c>
      <c r="B28" s="167" t="s">
        <v>20</v>
      </c>
      <c r="C28" s="168" t="s">
        <v>11</v>
      </c>
      <c r="D28" s="171">
        <v>50</v>
      </c>
      <c r="E28" s="165" t="s">
        <v>437</v>
      </c>
      <c r="F28" s="168" t="s">
        <v>441</v>
      </c>
      <c r="G28" s="166">
        <v>4</v>
      </c>
      <c r="H28" s="153">
        <f t="shared" si="0"/>
        <v>12.5</v>
      </c>
      <c r="J28" s="154"/>
    </row>
    <row r="29" spans="1:10" ht="12.75" customHeight="1" x14ac:dyDescent="0.2">
      <c r="A29" s="151">
        <v>28</v>
      </c>
      <c r="B29" s="164" t="s">
        <v>464</v>
      </c>
      <c r="C29" s="165" t="s">
        <v>21</v>
      </c>
      <c r="D29" s="171">
        <v>145</v>
      </c>
      <c r="E29" s="165" t="s">
        <v>437</v>
      </c>
      <c r="F29" s="165" t="s">
        <v>439</v>
      </c>
      <c r="G29" s="166">
        <v>128</v>
      </c>
      <c r="H29" s="153">
        <f t="shared" si="0"/>
        <v>1.1328125</v>
      </c>
      <c r="J29" s="154"/>
    </row>
    <row r="30" spans="1:10" ht="12.75" customHeight="1" x14ac:dyDescent="0.2">
      <c r="A30" s="151">
        <v>29</v>
      </c>
      <c r="B30" s="173" t="s">
        <v>574</v>
      </c>
      <c r="C30" s="155" t="s">
        <v>11</v>
      </c>
      <c r="D30" s="75">
        <v>135</v>
      </c>
      <c r="E30" s="155" t="s">
        <v>437</v>
      </c>
      <c r="F30" s="157" t="s">
        <v>440</v>
      </c>
      <c r="G30" s="156">
        <v>8</v>
      </c>
      <c r="H30" s="153">
        <f t="shared" si="0"/>
        <v>16.875</v>
      </c>
      <c r="J30" s="154"/>
    </row>
    <row r="31" spans="1:10" ht="12.75" customHeight="1" x14ac:dyDescent="0.2">
      <c r="A31" s="151">
        <v>30</v>
      </c>
      <c r="B31" s="164" t="s">
        <v>536</v>
      </c>
      <c r="C31" s="165" t="s">
        <v>21</v>
      </c>
      <c r="D31" s="75">
        <v>360</v>
      </c>
      <c r="E31" s="165" t="s">
        <v>437</v>
      </c>
      <c r="F31" s="165" t="s">
        <v>439</v>
      </c>
      <c r="G31" s="166">
        <v>128</v>
      </c>
      <c r="H31" s="153">
        <f t="shared" si="0"/>
        <v>2.8125</v>
      </c>
      <c r="J31" s="154"/>
    </row>
    <row r="32" spans="1:10" ht="12.75" customHeight="1" x14ac:dyDescent="0.2">
      <c r="A32" s="151">
        <v>31</v>
      </c>
      <c r="B32" s="167" t="s">
        <v>22</v>
      </c>
      <c r="C32" s="168" t="s">
        <v>3</v>
      </c>
      <c r="D32" s="169">
        <v>10</v>
      </c>
      <c r="E32" s="170" t="s">
        <v>64</v>
      </c>
      <c r="F32" s="168" t="s">
        <v>64</v>
      </c>
      <c r="G32" s="166">
        <v>1</v>
      </c>
      <c r="H32" s="153">
        <f t="shared" si="0"/>
        <v>10</v>
      </c>
      <c r="J32" s="154"/>
    </row>
    <row r="33" spans="1:10" ht="12.75" customHeight="1" x14ac:dyDescent="0.2">
      <c r="A33" s="151">
        <v>32</v>
      </c>
      <c r="B33" s="164" t="s">
        <v>462</v>
      </c>
      <c r="C33" s="165" t="s">
        <v>39</v>
      </c>
      <c r="D33" s="171">
        <v>3.5</v>
      </c>
      <c r="E33" s="165" t="s">
        <v>440</v>
      </c>
      <c r="F33" s="165" t="s">
        <v>440</v>
      </c>
      <c r="G33" s="166">
        <v>1</v>
      </c>
      <c r="H33" s="153">
        <f t="shared" si="0"/>
        <v>3.5</v>
      </c>
      <c r="J33" s="154"/>
    </row>
    <row r="34" spans="1:10" ht="12.75" customHeight="1" x14ac:dyDescent="0.2">
      <c r="A34" s="151">
        <v>33</v>
      </c>
      <c r="B34" s="167" t="s">
        <v>23</v>
      </c>
      <c r="C34" s="168" t="s">
        <v>19</v>
      </c>
      <c r="D34" s="169">
        <v>175</v>
      </c>
      <c r="E34" s="170" t="s">
        <v>76</v>
      </c>
      <c r="F34" s="168" t="s">
        <v>573</v>
      </c>
      <c r="G34" s="166">
        <v>80</v>
      </c>
      <c r="H34" s="153">
        <f t="shared" ref="H34:H65" si="1">IF(G34=0,0,D34/G34)</f>
        <v>2.1875</v>
      </c>
      <c r="J34" s="154"/>
    </row>
    <row r="35" spans="1:10" ht="12.75" customHeight="1" x14ac:dyDescent="0.2">
      <c r="A35" s="151">
        <v>34</v>
      </c>
      <c r="B35" s="167" t="s">
        <v>24</v>
      </c>
      <c r="C35" s="168" t="s">
        <v>19</v>
      </c>
      <c r="D35" s="169">
        <v>200</v>
      </c>
      <c r="E35" s="170" t="s">
        <v>76</v>
      </c>
      <c r="F35" s="168" t="s">
        <v>573</v>
      </c>
      <c r="G35" s="166">
        <v>80</v>
      </c>
      <c r="H35" s="153">
        <f t="shared" si="1"/>
        <v>2.5</v>
      </c>
    </row>
    <row r="36" spans="1:10" ht="12.75" customHeight="1" x14ac:dyDescent="0.2">
      <c r="A36" s="151">
        <v>35</v>
      </c>
      <c r="B36" s="167" t="s">
        <v>25</v>
      </c>
      <c r="C36" s="168" t="s">
        <v>19</v>
      </c>
      <c r="D36" s="169">
        <v>215</v>
      </c>
      <c r="E36" s="170" t="s">
        <v>76</v>
      </c>
      <c r="F36" s="168" t="s">
        <v>573</v>
      </c>
      <c r="G36" s="166">
        <v>80</v>
      </c>
      <c r="H36" s="153">
        <f t="shared" si="1"/>
        <v>2.6875</v>
      </c>
      <c r="J36" s="154"/>
    </row>
    <row r="37" spans="1:10" ht="12.75" customHeight="1" x14ac:dyDescent="0.2">
      <c r="A37" s="151">
        <v>36</v>
      </c>
      <c r="B37" s="164" t="s">
        <v>534</v>
      </c>
      <c r="C37" s="165" t="s">
        <v>19</v>
      </c>
      <c r="D37" s="75">
        <v>245</v>
      </c>
      <c r="E37" s="165" t="s">
        <v>76</v>
      </c>
      <c r="F37" s="168" t="s">
        <v>573</v>
      </c>
      <c r="G37" s="166">
        <v>80</v>
      </c>
      <c r="H37" s="153">
        <f t="shared" si="1"/>
        <v>3.0625</v>
      </c>
      <c r="J37" s="154"/>
    </row>
    <row r="38" spans="1:10" ht="12.75" customHeight="1" x14ac:dyDescent="0.2">
      <c r="A38" s="151">
        <v>37</v>
      </c>
      <c r="B38" s="190" t="s">
        <v>569</v>
      </c>
      <c r="C38" s="187" t="s">
        <v>19</v>
      </c>
      <c r="D38" s="75">
        <v>230</v>
      </c>
      <c r="E38" s="187" t="s">
        <v>76</v>
      </c>
      <c r="F38" s="168" t="s">
        <v>573</v>
      </c>
      <c r="G38" s="166">
        <v>80</v>
      </c>
      <c r="H38" s="153">
        <f t="shared" si="1"/>
        <v>2.875</v>
      </c>
      <c r="J38" s="154"/>
    </row>
    <row r="39" spans="1:10" ht="12.75" customHeight="1" x14ac:dyDescent="0.2">
      <c r="A39" s="151">
        <v>38</v>
      </c>
      <c r="B39" s="164" t="s">
        <v>535</v>
      </c>
      <c r="C39" s="165" t="s">
        <v>19</v>
      </c>
      <c r="D39" s="171">
        <v>215</v>
      </c>
      <c r="E39" s="165" t="s">
        <v>76</v>
      </c>
      <c r="F39" s="168" t="s">
        <v>573</v>
      </c>
      <c r="G39" s="166">
        <v>80</v>
      </c>
      <c r="H39" s="153">
        <f t="shared" si="1"/>
        <v>2.6875</v>
      </c>
      <c r="J39" s="154"/>
    </row>
    <row r="40" spans="1:10" ht="12.75" customHeight="1" x14ac:dyDescent="0.2">
      <c r="A40" s="151">
        <v>39</v>
      </c>
      <c r="B40" s="174" t="s">
        <v>542</v>
      </c>
      <c r="C40" s="157" t="s">
        <v>19</v>
      </c>
      <c r="D40" s="158">
        <v>280</v>
      </c>
      <c r="E40" s="159" t="s">
        <v>76</v>
      </c>
      <c r="F40" s="168" t="s">
        <v>573</v>
      </c>
      <c r="G40" s="166">
        <v>80</v>
      </c>
      <c r="H40" s="153">
        <f t="shared" si="1"/>
        <v>3.5</v>
      </c>
      <c r="J40" s="154"/>
    </row>
    <row r="41" spans="1:10" ht="12.75" customHeight="1" x14ac:dyDescent="0.2">
      <c r="A41" s="151">
        <v>40</v>
      </c>
      <c r="B41" s="190" t="s">
        <v>597</v>
      </c>
      <c r="C41" s="187" t="s">
        <v>19</v>
      </c>
      <c r="D41" s="75">
        <v>20</v>
      </c>
      <c r="E41" s="187" t="s">
        <v>71</v>
      </c>
      <c r="F41" s="187" t="s">
        <v>71</v>
      </c>
      <c r="G41" s="156">
        <v>1</v>
      </c>
      <c r="H41" s="153">
        <f t="shared" si="1"/>
        <v>20</v>
      </c>
      <c r="J41" s="154"/>
    </row>
    <row r="42" spans="1:10" ht="12.75" customHeight="1" x14ac:dyDescent="0.2">
      <c r="A42" s="151">
        <v>41</v>
      </c>
      <c r="B42" s="190" t="s">
        <v>598</v>
      </c>
      <c r="C42" s="187" t="s">
        <v>19</v>
      </c>
      <c r="D42" s="75">
        <v>30</v>
      </c>
      <c r="E42" s="187" t="s">
        <v>71</v>
      </c>
      <c r="F42" s="187" t="s">
        <v>71</v>
      </c>
      <c r="G42" s="156">
        <v>1</v>
      </c>
      <c r="H42" s="153">
        <f t="shared" si="1"/>
        <v>30</v>
      </c>
      <c r="J42" s="154"/>
    </row>
    <row r="43" spans="1:10" ht="12.75" customHeight="1" x14ac:dyDescent="0.2">
      <c r="A43" s="151">
        <v>42</v>
      </c>
      <c r="B43" s="167" t="s">
        <v>26</v>
      </c>
      <c r="C43" s="168" t="s">
        <v>528</v>
      </c>
      <c r="D43" s="171">
        <v>10.5</v>
      </c>
      <c r="E43" s="165" t="s">
        <v>437</v>
      </c>
      <c r="F43" s="168" t="s">
        <v>440</v>
      </c>
      <c r="G43" s="166">
        <v>8</v>
      </c>
      <c r="H43" s="153">
        <f t="shared" si="1"/>
        <v>1.3125</v>
      </c>
      <c r="J43" s="154"/>
    </row>
    <row r="44" spans="1:10" ht="12.75" customHeight="1" x14ac:dyDescent="0.2">
      <c r="A44" s="151">
        <v>43</v>
      </c>
      <c r="B44" s="167" t="s">
        <v>27</v>
      </c>
      <c r="C44" s="168" t="s">
        <v>11</v>
      </c>
      <c r="D44" s="171">
        <v>80</v>
      </c>
      <c r="E44" s="165" t="s">
        <v>437</v>
      </c>
      <c r="F44" s="168" t="s">
        <v>439</v>
      </c>
      <c r="G44" s="166">
        <v>128</v>
      </c>
      <c r="H44" s="153">
        <f t="shared" si="1"/>
        <v>0.625</v>
      </c>
    </row>
    <row r="45" spans="1:10" ht="12.75" customHeight="1" x14ac:dyDescent="0.2">
      <c r="A45" s="151">
        <v>44</v>
      </c>
      <c r="B45" s="174" t="s">
        <v>495</v>
      </c>
      <c r="C45" s="157" t="s">
        <v>11</v>
      </c>
      <c r="D45" s="158">
        <v>40</v>
      </c>
      <c r="E45" s="159" t="s">
        <v>437</v>
      </c>
      <c r="F45" s="157" t="s">
        <v>439</v>
      </c>
      <c r="G45" s="156">
        <v>128</v>
      </c>
      <c r="H45" s="153">
        <f t="shared" si="1"/>
        <v>0.3125</v>
      </c>
      <c r="J45" s="154"/>
    </row>
    <row r="46" spans="1:10" ht="12.75" customHeight="1" x14ac:dyDescent="0.2">
      <c r="A46" s="151">
        <v>45</v>
      </c>
      <c r="B46" s="167" t="s">
        <v>568</v>
      </c>
      <c r="C46" s="168" t="s">
        <v>3</v>
      </c>
      <c r="D46" s="169">
        <v>0.09</v>
      </c>
      <c r="E46" s="170" t="s">
        <v>436</v>
      </c>
      <c r="F46" s="168" t="s">
        <v>436</v>
      </c>
      <c r="G46" s="166">
        <v>1</v>
      </c>
      <c r="H46" s="153">
        <f t="shared" si="1"/>
        <v>0.09</v>
      </c>
      <c r="J46" s="154"/>
    </row>
    <row r="47" spans="1:10" ht="12.75" customHeight="1" x14ac:dyDescent="0.2">
      <c r="A47" s="151">
        <v>46</v>
      </c>
      <c r="B47" s="167" t="s">
        <v>28</v>
      </c>
      <c r="C47" s="168" t="s">
        <v>19</v>
      </c>
      <c r="D47" s="169">
        <v>92</v>
      </c>
      <c r="E47" s="170" t="s">
        <v>73</v>
      </c>
      <c r="F47" s="168" t="s">
        <v>73</v>
      </c>
      <c r="G47" s="166">
        <v>1</v>
      </c>
      <c r="H47" s="153">
        <f t="shared" si="1"/>
        <v>92</v>
      </c>
      <c r="J47" s="154"/>
    </row>
    <row r="48" spans="1:10" ht="12.75" customHeight="1" x14ac:dyDescent="0.2">
      <c r="A48" s="151">
        <v>47</v>
      </c>
      <c r="B48" s="167" t="s">
        <v>526</v>
      </c>
      <c r="C48" s="168" t="s">
        <v>29</v>
      </c>
      <c r="D48" s="169">
        <v>28</v>
      </c>
      <c r="E48" s="170" t="s">
        <v>71</v>
      </c>
      <c r="F48" s="168" t="s">
        <v>71</v>
      </c>
      <c r="G48" s="166">
        <v>1</v>
      </c>
      <c r="H48" s="153">
        <f t="shared" si="1"/>
        <v>28</v>
      </c>
      <c r="J48" s="154"/>
    </row>
    <row r="49" spans="1:10" ht="12.75" customHeight="1" x14ac:dyDescent="0.2">
      <c r="A49" s="151">
        <v>48</v>
      </c>
      <c r="B49" s="167" t="s">
        <v>493</v>
      </c>
      <c r="C49" s="168" t="s">
        <v>29</v>
      </c>
      <c r="D49" s="169">
        <v>0.1</v>
      </c>
      <c r="E49" s="170" t="s">
        <v>492</v>
      </c>
      <c r="F49" s="168" t="s">
        <v>492</v>
      </c>
      <c r="G49" s="166">
        <v>1</v>
      </c>
      <c r="H49" s="153">
        <f t="shared" si="1"/>
        <v>0.1</v>
      </c>
      <c r="J49" s="154"/>
    </row>
    <row r="50" spans="1:10" ht="12.75" customHeight="1" x14ac:dyDescent="0.2">
      <c r="A50" s="151">
        <v>49</v>
      </c>
      <c r="B50" s="167" t="s">
        <v>30</v>
      </c>
      <c r="C50" s="168" t="s">
        <v>11</v>
      </c>
      <c r="D50" s="171">
        <v>37</v>
      </c>
      <c r="E50" s="165" t="s">
        <v>437</v>
      </c>
      <c r="F50" s="168" t="s">
        <v>441</v>
      </c>
      <c r="G50" s="166">
        <v>4</v>
      </c>
      <c r="H50" s="153">
        <f t="shared" si="1"/>
        <v>9.25</v>
      </c>
      <c r="J50" s="154"/>
    </row>
    <row r="51" spans="1:10" ht="12.75" customHeight="1" x14ac:dyDescent="0.2">
      <c r="A51" s="151">
        <v>50</v>
      </c>
      <c r="B51" s="167" t="s">
        <v>31</v>
      </c>
      <c r="C51" s="168" t="s">
        <v>29</v>
      </c>
      <c r="D51" s="169">
        <v>260</v>
      </c>
      <c r="E51" s="170" t="s">
        <v>75</v>
      </c>
      <c r="F51" s="168" t="s">
        <v>71</v>
      </c>
      <c r="G51" s="166">
        <v>130</v>
      </c>
      <c r="H51" s="153">
        <f t="shared" si="1"/>
        <v>2</v>
      </c>
      <c r="J51" s="154"/>
    </row>
    <row r="52" spans="1:10" ht="12.75" customHeight="1" x14ac:dyDescent="0.2">
      <c r="A52" s="151">
        <v>51</v>
      </c>
      <c r="B52" s="167" t="s">
        <v>32</v>
      </c>
      <c r="C52" s="168" t="s">
        <v>11</v>
      </c>
      <c r="D52" s="171">
        <v>17</v>
      </c>
      <c r="E52" s="165" t="s">
        <v>437</v>
      </c>
      <c r="F52" s="168" t="s">
        <v>439</v>
      </c>
      <c r="G52" s="166">
        <v>128</v>
      </c>
      <c r="H52" s="153">
        <f t="shared" si="1"/>
        <v>0.1328125</v>
      </c>
      <c r="J52" s="154"/>
    </row>
    <row r="53" spans="1:10" ht="12.75" customHeight="1" x14ac:dyDescent="0.2">
      <c r="A53" s="151">
        <v>52</v>
      </c>
      <c r="B53" s="164" t="s">
        <v>579</v>
      </c>
      <c r="C53" s="165" t="s">
        <v>11</v>
      </c>
      <c r="D53" s="171">
        <v>43</v>
      </c>
      <c r="E53" s="165" t="s">
        <v>437</v>
      </c>
      <c r="F53" s="165" t="s">
        <v>440</v>
      </c>
      <c r="G53" s="166">
        <v>8</v>
      </c>
      <c r="H53" s="153">
        <f t="shared" si="1"/>
        <v>5.375</v>
      </c>
      <c r="J53" s="154"/>
    </row>
    <row r="54" spans="1:10" ht="12.75" customHeight="1" x14ac:dyDescent="0.2">
      <c r="A54" s="151">
        <v>53</v>
      </c>
      <c r="B54" s="167" t="s">
        <v>33</v>
      </c>
      <c r="C54" s="168" t="s">
        <v>34</v>
      </c>
      <c r="D54" s="169">
        <v>10</v>
      </c>
      <c r="E54" s="170" t="s">
        <v>71</v>
      </c>
      <c r="F54" s="168" t="s">
        <v>71</v>
      </c>
      <c r="G54" s="166">
        <v>1</v>
      </c>
      <c r="H54" s="153">
        <f t="shared" si="1"/>
        <v>10</v>
      </c>
      <c r="J54" s="154"/>
    </row>
    <row r="55" spans="1:10" ht="12.75" customHeight="1" x14ac:dyDescent="0.2">
      <c r="A55" s="151">
        <v>54</v>
      </c>
      <c r="B55" s="167" t="s">
        <v>35</v>
      </c>
      <c r="C55" s="168" t="s">
        <v>19</v>
      </c>
      <c r="D55" s="169">
        <v>60</v>
      </c>
      <c r="E55" s="170" t="s">
        <v>71</v>
      </c>
      <c r="F55" s="168" t="s">
        <v>71</v>
      </c>
      <c r="G55" s="166">
        <v>1</v>
      </c>
      <c r="H55" s="153">
        <f t="shared" si="1"/>
        <v>60</v>
      </c>
    </row>
    <row r="56" spans="1:10" ht="12.75" customHeight="1" x14ac:dyDescent="0.2">
      <c r="A56" s="151">
        <v>55</v>
      </c>
      <c r="B56" s="167" t="s">
        <v>36</v>
      </c>
      <c r="C56" s="168" t="s">
        <v>3</v>
      </c>
      <c r="D56" s="169">
        <v>6</v>
      </c>
      <c r="E56" s="170" t="s">
        <v>64</v>
      </c>
      <c r="F56" s="168" t="s">
        <v>64</v>
      </c>
      <c r="G56" s="166">
        <v>1</v>
      </c>
      <c r="H56" s="153">
        <f t="shared" si="1"/>
        <v>6</v>
      </c>
      <c r="J56" s="154"/>
    </row>
    <row r="57" spans="1:10" ht="12.75" customHeight="1" x14ac:dyDescent="0.2">
      <c r="A57" s="151">
        <v>56</v>
      </c>
      <c r="B57" s="167" t="s">
        <v>37</v>
      </c>
      <c r="C57" s="168" t="s">
        <v>3</v>
      </c>
      <c r="D57" s="169">
        <v>5</v>
      </c>
      <c r="E57" s="170" t="s">
        <v>64</v>
      </c>
      <c r="F57" s="168" t="s">
        <v>64</v>
      </c>
      <c r="G57" s="166">
        <v>1</v>
      </c>
      <c r="H57" s="153">
        <f t="shared" si="1"/>
        <v>5</v>
      </c>
      <c r="J57" s="154"/>
    </row>
    <row r="58" spans="1:10" ht="12.75" customHeight="1" x14ac:dyDescent="0.2">
      <c r="A58" s="151">
        <v>57</v>
      </c>
      <c r="B58" s="167" t="s">
        <v>422</v>
      </c>
      <c r="C58" s="168" t="s">
        <v>3</v>
      </c>
      <c r="D58" s="169">
        <v>0.28000000000000003</v>
      </c>
      <c r="E58" s="170" t="s">
        <v>73</v>
      </c>
      <c r="F58" s="168" t="s">
        <v>73</v>
      </c>
      <c r="G58" s="166">
        <v>1</v>
      </c>
      <c r="H58" s="153">
        <f t="shared" si="1"/>
        <v>0.28000000000000003</v>
      </c>
      <c r="J58" s="154"/>
    </row>
    <row r="59" spans="1:10" ht="12.75" customHeight="1" x14ac:dyDescent="0.2">
      <c r="A59" s="151">
        <v>58</v>
      </c>
      <c r="B59" s="164" t="s">
        <v>420</v>
      </c>
      <c r="C59" s="165" t="s">
        <v>3</v>
      </c>
      <c r="D59" s="171">
        <v>0.24</v>
      </c>
      <c r="E59" s="165" t="s">
        <v>73</v>
      </c>
      <c r="F59" s="165" t="s">
        <v>73</v>
      </c>
      <c r="G59" s="166">
        <v>1</v>
      </c>
      <c r="H59" s="153">
        <f t="shared" si="1"/>
        <v>0.24</v>
      </c>
      <c r="J59" s="154"/>
    </row>
    <row r="60" spans="1:10" ht="12.75" customHeight="1" x14ac:dyDescent="0.2">
      <c r="A60" s="151">
        <v>59</v>
      </c>
      <c r="B60" s="164" t="s">
        <v>421</v>
      </c>
      <c r="C60" s="165" t="s">
        <v>3</v>
      </c>
      <c r="D60" s="171">
        <v>0.3</v>
      </c>
      <c r="E60" s="165" t="s">
        <v>73</v>
      </c>
      <c r="F60" s="165" t="s">
        <v>73</v>
      </c>
      <c r="G60" s="166">
        <v>1</v>
      </c>
      <c r="H60" s="153">
        <f t="shared" si="1"/>
        <v>0.3</v>
      </c>
      <c r="J60" s="154"/>
    </row>
    <row r="61" spans="1:10" ht="12.75" customHeight="1" x14ac:dyDescent="0.2">
      <c r="A61" s="151">
        <v>60</v>
      </c>
      <c r="B61" s="167" t="s">
        <v>38</v>
      </c>
      <c r="C61" s="168" t="s">
        <v>3</v>
      </c>
      <c r="D61" s="169">
        <v>0.11</v>
      </c>
      <c r="E61" s="170" t="s">
        <v>436</v>
      </c>
      <c r="F61" s="168" t="s">
        <v>436</v>
      </c>
      <c r="G61" s="166">
        <v>1</v>
      </c>
      <c r="H61" s="153">
        <f t="shared" si="1"/>
        <v>0.11</v>
      </c>
      <c r="J61" s="154"/>
    </row>
    <row r="62" spans="1:10" ht="12.75" customHeight="1" x14ac:dyDescent="0.2">
      <c r="A62" s="151">
        <v>61</v>
      </c>
      <c r="B62" s="190" t="s">
        <v>500</v>
      </c>
      <c r="C62" s="187" t="s">
        <v>39</v>
      </c>
      <c r="D62" s="75">
        <v>320</v>
      </c>
      <c r="E62" s="187" t="s">
        <v>437</v>
      </c>
      <c r="F62" s="157" t="s">
        <v>439</v>
      </c>
      <c r="G62" s="156">
        <v>128</v>
      </c>
      <c r="H62" s="153">
        <f t="shared" si="1"/>
        <v>2.5</v>
      </c>
      <c r="J62" s="154"/>
    </row>
    <row r="63" spans="1:10" ht="12.75" customHeight="1" x14ac:dyDescent="0.2">
      <c r="A63" s="151">
        <v>62</v>
      </c>
      <c r="B63" s="174" t="s">
        <v>540</v>
      </c>
      <c r="C63" s="157" t="s">
        <v>11</v>
      </c>
      <c r="D63" s="158">
        <v>116</v>
      </c>
      <c r="E63" s="159" t="s">
        <v>437</v>
      </c>
      <c r="F63" s="157" t="s">
        <v>439</v>
      </c>
      <c r="G63" s="156">
        <v>128</v>
      </c>
      <c r="H63" s="153">
        <f t="shared" si="1"/>
        <v>0.90625</v>
      </c>
    </row>
    <row r="64" spans="1:10" ht="12.75" customHeight="1" x14ac:dyDescent="0.2">
      <c r="A64" s="151">
        <v>63</v>
      </c>
      <c r="B64" s="167" t="s">
        <v>547</v>
      </c>
      <c r="C64" s="168" t="s">
        <v>29</v>
      </c>
      <c r="D64" s="169">
        <v>30</v>
      </c>
      <c r="E64" s="170" t="s">
        <v>71</v>
      </c>
      <c r="F64" s="168" t="s">
        <v>71</v>
      </c>
      <c r="G64" s="166">
        <v>1</v>
      </c>
      <c r="H64" s="153">
        <f t="shared" si="1"/>
        <v>30</v>
      </c>
    </row>
    <row r="65" spans="1:10" ht="12.75" customHeight="1" x14ac:dyDescent="0.2">
      <c r="A65" s="151">
        <v>64</v>
      </c>
      <c r="B65" s="167" t="s">
        <v>40</v>
      </c>
      <c r="C65" s="168" t="s">
        <v>11</v>
      </c>
      <c r="D65" s="171">
        <v>19</v>
      </c>
      <c r="E65" s="165" t="s">
        <v>437</v>
      </c>
      <c r="F65" s="168" t="s">
        <v>439</v>
      </c>
      <c r="G65" s="166">
        <v>128</v>
      </c>
      <c r="H65" s="153">
        <f t="shared" si="1"/>
        <v>0.1484375</v>
      </c>
    </row>
    <row r="66" spans="1:10" ht="12.75" customHeight="1" x14ac:dyDescent="0.2">
      <c r="A66" s="151">
        <v>65</v>
      </c>
      <c r="B66" s="174" t="s">
        <v>498</v>
      </c>
      <c r="C66" s="157" t="s">
        <v>11</v>
      </c>
      <c r="D66" s="158">
        <v>780</v>
      </c>
      <c r="E66" s="159" t="s">
        <v>437</v>
      </c>
      <c r="F66" s="157" t="s">
        <v>439</v>
      </c>
      <c r="G66" s="156">
        <v>128</v>
      </c>
      <c r="H66" s="153">
        <f t="shared" ref="H66:H97" si="2">IF(G66=0,0,D66/G66)</f>
        <v>6.09375</v>
      </c>
    </row>
    <row r="67" spans="1:10" ht="12.75" customHeight="1" x14ac:dyDescent="0.2">
      <c r="A67" s="151">
        <v>66</v>
      </c>
      <c r="B67" s="164" t="s">
        <v>529</v>
      </c>
      <c r="C67" s="165" t="s">
        <v>3</v>
      </c>
      <c r="D67" s="165">
        <v>2</v>
      </c>
      <c r="E67" s="165" t="s">
        <v>72</v>
      </c>
      <c r="F67" s="165" t="s">
        <v>64</v>
      </c>
      <c r="G67" s="166">
        <f>1362/2000</f>
        <v>0.68100000000000005</v>
      </c>
      <c r="H67" s="153">
        <f t="shared" si="2"/>
        <v>2.9368575624082229</v>
      </c>
      <c r="J67" s="154"/>
    </row>
    <row r="68" spans="1:10" ht="12.75" customHeight="1" x14ac:dyDescent="0.2">
      <c r="A68" s="151">
        <v>67</v>
      </c>
      <c r="B68" s="167" t="s">
        <v>41</v>
      </c>
      <c r="C68" s="168" t="s">
        <v>21</v>
      </c>
      <c r="D68" s="169">
        <v>2.5</v>
      </c>
      <c r="E68" s="170" t="s">
        <v>438</v>
      </c>
      <c r="F68" s="168" t="s">
        <v>438</v>
      </c>
      <c r="G68" s="166">
        <v>1</v>
      </c>
      <c r="H68" s="153">
        <f t="shared" si="2"/>
        <v>2.5</v>
      </c>
      <c r="J68" s="154"/>
    </row>
    <row r="69" spans="1:10" ht="12.75" customHeight="1" x14ac:dyDescent="0.2">
      <c r="A69" s="151">
        <v>68</v>
      </c>
      <c r="B69" s="167" t="s">
        <v>42</v>
      </c>
      <c r="C69" s="168" t="s">
        <v>21</v>
      </c>
      <c r="D69" s="169">
        <v>50</v>
      </c>
      <c r="E69" s="170" t="s">
        <v>437</v>
      </c>
      <c r="F69" s="172" t="s">
        <v>440</v>
      </c>
      <c r="G69" s="166">
        <v>8</v>
      </c>
      <c r="H69" s="153">
        <f t="shared" si="2"/>
        <v>6.25</v>
      </c>
      <c r="J69" s="154"/>
    </row>
    <row r="70" spans="1:10" ht="12.75" customHeight="1" x14ac:dyDescent="0.2">
      <c r="A70" s="151">
        <v>69</v>
      </c>
      <c r="B70" s="164" t="s">
        <v>491</v>
      </c>
      <c r="C70" s="165" t="s">
        <v>11</v>
      </c>
      <c r="D70" s="171">
        <v>75</v>
      </c>
      <c r="E70" s="165" t="s">
        <v>437</v>
      </c>
      <c r="F70" s="165" t="s">
        <v>441</v>
      </c>
      <c r="G70" s="166">
        <v>4</v>
      </c>
      <c r="H70" s="153">
        <f t="shared" si="2"/>
        <v>18.75</v>
      </c>
    </row>
    <row r="71" spans="1:10" ht="12.75" customHeight="1" x14ac:dyDescent="0.2">
      <c r="A71" s="151">
        <v>70</v>
      </c>
      <c r="B71" s="167" t="s">
        <v>43</v>
      </c>
      <c r="C71" s="168" t="s">
        <v>19</v>
      </c>
      <c r="D71" s="169">
        <v>0.6</v>
      </c>
      <c r="E71" s="170" t="s">
        <v>438</v>
      </c>
      <c r="F71" s="168" t="s">
        <v>438</v>
      </c>
      <c r="G71" s="166">
        <v>1</v>
      </c>
      <c r="H71" s="153">
        <f t="shared" si="2"/>
        <v>0.6</v>
      </c>
    </row>
    <row r="72" spans="1:10" ht="12.75" customHeight="1" x14ac:dyDescent="0.2">
      <c r="A72" s="151">
        <v>71</v>
      </c>
      <c r="B72" s="167" t="s">
        <v>44</v>
      </c>
      <c r="C72" s="168" t="s">
        <v>29</v>
      </c>
      <c r="D72" s="169">
        <v>20</v>
      </c>
      <c r="E72" s="170" t="s">
        <v>442</v>
      </c>
      <c r="F72" s="168" t="s">
        <v>442</v>
      </c>
      <c r="G72" s="166">
        <v>1</v>
      </c>
      <c r="H72" s="153">
        <f t="shared" si="2"/>
        <v>20</v>
      </c>
    </row>
    <row r="73" spans="1:10" ht="12.75" customHeight="1" x14ac:dyDescent="0.2">
      <c r="A73" s="151">
        <v>72</v>
      </c>
      <c r="B73" s="167" t="s">
        <v>463</v>
      </c>
      <c r="C73" s="168" t="s">
        <v>21</v>
      </c>
      <c r="D73" s="169">
        <v>190</v>
      </c>
      <c r="E73" s="170" t="s">
        <v>437</v>
      </c>
      <c r="F73" s="168" t="s">
        <v>439</v>
      </c>
      <c r="G73" s="166">
        <v>128</v>
      </c>
      <c r="H73" s="153">
        <f t="shared" si="2"/>
        <v>1.484375</v>
      </c>
    </row>
    <row r="74" spans="1:10" ht="12.75" customHeight="1" x14ac:dyDescent="0.2">
      <c r="A74" s="151">
        <v>73</v>
      </c>
      <c r="B74" s="167" t="s">
        <v>45</v>
      </c>
      <c r="C74" s="168" t="s">
        <v>528</v>
      </c>
      <c r="D74" s="171">
        <v>23</v>
      </c>
      <c r="E74" s="181" t="s">
        <v>437</v>
      </c>
      <c r="F74" s="172" t="s">
        <v>439</v>
      </c>
      <c r="G74" s="166">
        <v>128</v>
      </c>
      <c r="H74" s="153">
        <f t="shared" si="2"/>
        <v>0.1796875</v>
      </c>
      <c r="J74" s="154"/>
    </row>
    <row r="75" spans="1:10" ht="12.75" customHeight="1" x14ac:dyDescent="0.2">
      <c r="A75" s="151">
        <v>74</v>
      </c>
      <c r="B75" s="167" t="s">
        <v>46</v>
      </c>
      <c r="C75" s="168" t="s">
        <v>19</v>
      </c>
      <c r="D75" s="169">
        <v>9</v>
      </c>
      <c r="E75" s="170" t="s">
        <v>436</v>
      </c>
      <c r="F75" s="168" t="s">
        <v>436</v>
      </c>
      <c r="G75" s="166">
        <v>1</v>
      </c>
      <c r="H75" s="153">
        <f t="shared" si="2"/>
        <v>9</v>
      </c>
      <c r="J75" s="154"/>
    </row>
    <row r="76" spans="1:10" ht="12.75" customHeight="1" x14ac:dyDescent="0.2">
      <c r="A76" s="151">
        <v>75</v>
      </c>
      <c r="B76" s="164" t="s">
        <v>460</v>
      </c>
      <c r="C76" s="165" t="s">
        <v>11</v>
      </c>
      <c r="D76" s="171">
        <v>140</v>
      </c>
      <c r="E76" s="165" t="s">
        <v>437</v>
      </c>
      <c r="F76" s="165" t="s">
        <v>439</v>
      </c>
      <c r="G76" s="166">
        <v>128</v>
      </c>
      <c r="H76" s="153">
        <f t="shared" si="2"/>
        <v>1.09375</v>
      </c>
      <c r="J76" s="154"/>
    </row>
    <row r="77" spans="1:10" x14ac:dyDescent="0.2">
      <c r="A77" s="151">
        <v>76</v>
      </c>
      <c r="B77" s="190" t="s">
        <v>561</v>
      </c>
      <c r="C77" s="187" t="s">
        <v>39</v>
      </c>
      <c r="D77" s="75">
        <v>8</v>
      </c>
      <c r="E77" s="187" t="s">
        <v>438</v>
      </c>
      <c r="F77" s="187" t="s">
        <v>438</v>
      </c>
      <c r="G77" s="156">
        <v>1</v>
      </c>
      <c r="H77" s="153">
        <f t="shared" si="2"/>
        <v>8</v>
      </c>
      <c r="J77" s="154"/>
    </row>
    <row r="78" spans="1:10" x14ac:dyDescent="0.2">
      <c r="A78" s="151">
        <v>77</v>
      </c>
      <c r="B78" s="167" t="s">
        <v>47</v>
      </c>
      <c r="C78" s="168" t="s">
        <v>11</v>
      </c>
      <c r="D78" s="171">
        <v>16</v>
      </c>
      <c r="E78" s="165" t="s">
        <v>439</v>
      </c>
      <c r="F78" s="168" t="s">
        <v>439</v>
      </c>
      <c r="G78" s="166">
        <v>1</v>
      </c>
      <c r="H78" s="153">
        <f t="shared" si="2"/>
        <v>16</v>
      </c>
      <c r="J78" s="154"/>
    </row>
    <row r="79" spans="1:10" x14ac:dyDescent="0.2">
      <c r="A79" s="151">
        <v>78</v>
      </c>
      <c r="B79" s="190" t="s">
        <v>560</v>
      </c>
      <c r="C79" s="187" t="s">
        <v>19</v>
      </c>
      <c r="D79" s="75">
        <v>18</v>
      </c>
      <c r="E79" s="187" t="s">
        <v>436</v>
      </c>
      <c r="F79" s="187" t="s">
        <v>436</v>
      </c>
      <c r="G79" s="156">
        <v>1</v>
      </c>
      <c r="H79" s="153">
        <f t="shared" si="2"/>
        <v>18</v>
      </c>
      <c r="J79" s="154"/>
    </row>
    <row r="80" spans="1:10" x14ac:dyDescent="0.2">
      <c r="A80" s="151">
        <v>79</v>
      </c>
      <c r="B80" s="174" t="s">
        <v>541</v>
      </c>
      <c r="C80" s="157" t="s">
        <v>39</v>
      </c>
      <c r="D80" s="158">
        <v>650</v>
      </c>
      <c r="E80" s="159" t="s">
        <v>437</v>
      </c>
      <c r="F80" s="157" t="s">
        <v>439</v>
      </c>
      <c r="G80" s="156">
        <v>128</v>
      </c>
      <c r="H80" s="153">
        <f t="shared" si="2"/>
        <v>5.078125</v>
      </c>
    </row>
    <row r="81" spans="1:10" x14ac:dyDescent="0.2">
      <c r="A81" s="151">
        <v>80</v>
      </c>
      <c r="B81" s="167" t="s">
        <v>461</v>
      </c>
      <c r="C81" s="168" t="s">
        <v>11</v>
      </c>
      <c r="D81" s="171">
        <v>49</v>
      </c>
      <c r="E81" s="165" t="s">
        <v>437</v>
      </c>
      <c r="F81" s="168" t="s">
        <v>440</v>
      </c>
      <c r="G81" s="166">
        <v>8</v>
      </c>
      <c r="H81" s="153">
        <f t="shared" si="2"/>
        <v>6.125</v>
      </c>
      <c r="J81" s="154"/>
    </row>
    <row r="82" spans="1:10" x14ac:dyDescent="0.2">
      <c r="A82" s="151">
        <v>81</v>
      </c>
      <c r="B82" s="167" t="s">
        <v>48</v>
      </c>
      <c r="C82" s="168" t="s">
        <v>11</v>
      </c>
      <c r="D82" s="171">
        <v>480</v>
      </c>
      <c r="E82" s="165" t="s">
        <v>437</v>
      </c>
      <c r="F82" s="168" t="s">
        <v>439</v>
      </c>
      <c r="G82" s="166">
        <v>128</v>
      </c>
      <c r="H82" s="153">
        <f t="shared" si="2"/>
        <v>3.75</v>
      </c>
      <c r="J82" s="154"/>
    </row>
    <row r="83" spans="1:10" x14ac:dyDescent="0.2">
      <c r="A83" s="151">
        <v>82</v>
      </c>
      <c r="B83" s="164" t="s">
        <v>527</v>
      </c>
      <c r="C83" s="165" t="s">
        <v>39</v>
      </c>
      <c r="D83" s="171">
        <v>425</v>
      </c>
      <c r="E83" s="165" t="s">
        <v>437</v>
      </c>
      <c r="F83" s="165" t="s">
        <v>439</v>
      </c>
      <c r="G83" s="166">
        <v>128</v>
      </c>
      <c r="H83" s="153">
        <f t="shared" si="2"/>
        <v>3.3203125</v>
      </c>
      <c r="J83" s="154"/>
    </row>
    <row r="84" spans="1:10" x14ac:dyDescent="0.2">
      <c r="A84" s="151">
        <v>83</v>
      </c>
      <c r="B84" s="167" t="s">
        <v>543</v>
      </c>
      <c r="C84" s="168" t="s">
        <v>39</v>
      </c>
      <c r="D84" s="169">
        <v>280</v>
      </c>
      <c r="E84" s="170" t="s">
        <v>437</v>
      </c>
      <c r="F84" s="168" t="s">
        <v>439</v>
      </c>
      <c r="G84" s="166">
        <v>128</v>
      </c>
      <c r="H84" s="153">
        <f t="shared" si="2"/>
        <v>2.1875</v>
      </c>
      <c r="J84" s="154"/>
    </row>
    <row r="85" spans="1:10" x14ac:dyDescent="0.2">
      <c r="A85" s="151">
        <v>84</v>
      </c>
      <c r="B85" s="164" t="s">
        <v>459</v>
      </c>
      <c r="C85" s="165" t="s">
        <v>11</v>
      </c>
      <c r="D85" s="171">
        <v>610</v>
      </c>
      <c r="E85" s="165" t="s">
        <v>437</v>
      </c>
      <c r="F85" s="165" t="s">
        <v>439</v>
      </c>
      <c r="G85" s="166">
        <v>128</v>
      </c>
      <c r="H85" s="153">
        <f t="shared" si="2"/>
        <v>4.765625</v>
      </c>
      <c r="J85" s="154"/>
    </row>
    <row r="86" spans="1:10" ht="14.25" customHeight="1" x14ac:dyDescent="0.2">
      <c r="A86" s="151">
        <v>85</v>
      </c>
      <c r="B86" s="167" t="s">
        <v>49</v>
      </c>
      <c r="C86" s="168" t="s">
        <v>21</v>
      </c>
      <c r="D86" s="169">
        <v>9.3000000000000007</v>
      </c>
      <c r="E86" s="170" t="s">
        <v>439</v>
      </c>
      <c r="F86" s="168" t="s">
        <v>439</v>
      </c>
      <c r="G86" s="166">
        <v>1</v>
      </c>
      <c r="H86" s="153">
        <f t="shared" si="2"/>
        <v>9.3000000000000007</v>
      </c>
      <c r="J86" s="154"/>
    </row>
    <row r="87" spans="1:10" x14ac:dyDescent="0.2">
      <c r="A87" s="151">
        <v>86</v>
      </c>
      <c r="B87" s="164" t="s">
        <v>532</v>
      </c>
      <c r="C87" s="165" t="s">
        <v>11</v>
      </c>
      <c r="D87" s="75">
        <v>40</v>
      </c>
      <c r="E87" s="165" t="s">
        <v>437</v>
      </c>
      <c r="F87" s="165" t="s">
        <v>439</v>
      </c>
      <c r="G87" s="166">
        <v>128</v>
      </c>
      <c r="H87" s="153">
        <f t="shared" si="2"/>
        <v>0.3125</v>
      </c>
      <c r="J87" s="154"/>
    </row>
    <row r="88" spans="1:10" x14ac:dyDescent="0.2">
      <c r="A88" s="151">
        <v>87</v>
      </c>
      <c r="B88" s="167" t="s">
        <v>50</v>
      </c>
      <c r="C88" s="168" t="s">
        <v>19</v>
      </c>
      <c r="D88" s="169">
        <v>44</v>
      </c>
      <c r="E88" s="170" t="s">
        <v>76</v>
      </c>
      <c r="F88" s="168" t="s">
        <v>76</v>
      </c>
      <c r="G88" s="166">
        <v>1</v>
      </c>
      <c r="H88" s="153">
        <f t="shared" si="2"/>
        <v>44</v>
      </c>
      <c r="J88" s="154"/>
    </row>
    <row r="89" spans="1:10" ht="15" customHeight="1" x14ac:dyDescent="0.2">
      <c r="A89" s="151">
        <v>88</v>
      </c>
      <c r="B89" s="190" t="s">
        <v>575</v>
      </c>
      <c r="C89" s="187" t="s">
        <v>19</v>
      </c>
      <c r="D89" s="75">
        <v>55</v>
      </c>
      <c r="E89" s="187" t="s">
        <v>76</v>
      </c>
      <c r="F89" s="187" t="s">
        <v>76</v>
      </c>
      <c r="G89" s="156">
        <v>1</v>
      </c>
      <c r="H89" s="153">
        <f t="shared" si="2"/>
        <v>55</v>
      </c>
    </row>
    <row r="90" spans="1:10" x14ac:dyDescent="0.2">
      <c r="A90" s="151">
        <v>89</v>
      </c>
      <c r="B90" s="167" t="s">
        <v>494</v>
      </c>
      <c r="C90" s="168" t="s">
        <v>19</v>
      </c>
      <c r="D90" s="169">
        <v>47</v>
      </c>
      <c r="E90" s="170" t="s">
        <v>76</v>
      </c>
      <c r="F90" s="168" t="s">
        <v>76</v>
      </c>
      <c r="G90" s="166">
        <v>1</v>
      </c>
      <c r="H90" s="153">
        <f t="shared" si="2"/>
        <v>47</v>
      </c>
      <c r="J90" s="154"/>
    </row>
    <row r="91" spans="1:10" x14ac:dyDescent="0.2">
      <c r="A91" s="151">
        <v>90</v>
      </c>
      <c r="B91" s="281" t="s">
        <v>576</v>
      </c>
      <c r="C91" s="281" t="s">
        <v>19</v>
      </c>
      <c r="D91" s="277">
        <v>58</v>
      </c>
      <c r="E91" s="281" t="s">
        <v>438</v>
      </c>
      <c r="F91" s="281" t="s">
        <v>438</v>
      </c>
      <c r="G91" s="156">
        <v>1</v>
      </c>
      <c r="H91" s="153">
        <f t="shared" si="2"/>
        <v>58</v>
      </c>
      <c r="J91" s="154"/>
    </row>
    <row r="92" spans="1:10" x14ac:dyDescent="0.2">
      <c r="A92" s="151">
        <v>91</v>
      </c>
      <c r="B92" s="273" t="s">
        <v>499</v>
      </c>
      <c r="C92" s="274" t="s">
        <v>11</v>
      </c>
      <c r="D92" s="275">
        <v>40</v>
      </c>
      <c r="E92" s="276" t="s">
        <v>437</v>
      </c>
      <c r="F92" s="274" t="s">
        <v>441</v>
      </c>
      <c r="G92" s="156">
        <v>4</v>
      </c>
      <c r="H92" s="153">
        <f t="shared" si="2"/>
        <v>10</v>
      </c>
      <c r="J92" s="154"/>
    </row>
    <row r="93" spans="1:10" x14ac:dyDescent="0.2">
      <c r="A93" s="151">
        <v>92</v>
      </c>
      <c r="B93" s="185" t="s">
        <v>451</v>
      </c>
      <c r="C93" s="165" t="s">
        <v>407</v>
      </c>
      <c r="D93" s="240">
        <v>10</v>
      </c>
      <c r="E93" s="185" t="s">
        <v>71</v>
      </c>
      <c r="F93" s="165" t="s">
        <v>71</v>
      </c>
      <c r="G93" s="166">
        <v>1</v>
      </c>
      <c r="H93" s="153">
        <f t="shared" si="2"/>
        <v>10</v>
      </c>
      <c r="J93" s="154"/>
    </row>
    <row r="94" spans="1:10" x14ac:dyDescent="0.2">
      <c r="A94" s="151">
        <v>93</v>
      </c>
      <c r="B94" s="185" t="s">
        <v>473</v>
      </c>
      <c r="C94" s="165" t="s">
        <v>407</v>
      </c>
      <c r="D94" s="240">
        <v>7</v>
      </c>
      <c r="E94" s="185" t="s">
        <v>71</v>
      </c>
      <c r="F94" s="165" t="s">
        <v>71</v>
      </c>
      <c r="G94" s="166">
        <v>1</v>
      </c>
      <c r="H94" s="153">
        <f t="shared" si="2"/>
        <v>7</v>
      </c>
      <c r="J94" s="154"/>
    </row>
    <row r="95" spans="1:10" x14ac:dyDescent="0.2">
      <c r="A95" s="151">
        <v>94</v>
      </c>
      <c r="B95" s="165" t="s">
        <v>477</v>
      </c>
      <c r="C95" s="165" t="s">
        <v>407</v>
      </c>
      <c r="D95" s="240">
        <v>7</v>
      </c>
      <c r="E95" s="185" t="s">
        <v>71</v>
      </c>
      <c r="F95" s="165" t="s">
        <v>71</v>
      </c>
      <c r="G95" s="166">
        <v>1</v>
      </c>
      <c r="H95" s="153">
        <f t="shared" si="2"/>
        <v>7</v>
      </c>
      <c r="J95" s="154"/>
    </row>
    <row r="96" spans="1:10" x14ac:dyDescent="0.2">
      <c r="A96" s="151">
        <v>95</v>
      </c>
      <c r="B96" s="185" t="s">
        <v>453</v>
      </c>
      <c r="C96" s="185" t="s">
        <v>407</v>
      </c>
      <c r="D96" s="240">
        <v>7</v>
      </c>
      <c r="E96" s="185" t="s">
        <v>71</v>
      </c>
      <c r="F96" s="185" t="s">
        <v>71</v>
      </c>
      <c r="G96" s="166">
        <v>1</v>
      </c>
      <c r="H96" s="153">
        <f t="shared" si="2"/>
        <v>7</v>
      </c>
      <c r="J96" s="154"/>
    </row>
    <row r="97" spans="1:10" x14ac:dyDescent="0.2">
      <c r="A97" s="151">
        <v>96</v>
      </c>
      <c r="B97" s="165" t="s">
        <v>449</v>
      </c>
      <c r="C97" s="165" t="s">
        <v>407</v>
      </c>
      <c r="D97" s="171">
        <v>10</v>
      </c>
      <c r="E97" s="165" t="s">
        <v>71</v>
      </c>
      <c r="F97" s="165" t="s">
        <v>71</v>
      </c>
      <c r="G97" s="166">
        <v>1</v>
      </c>
      <c r="H97" s="153">
        <f t="shared" si="2"/>
        <v>10</v>
      </c>
      <c r="J97" s="154"/>
    </row>
    <row r="98" spans="1:10" x14ac:dyDescent="0.2">
      <c r="A98" s="151">
        <v>97</v>
      </c>
      <c r="B98" s="165" t="s">
        <v>450</v>
      </c>
      <c r="C98" s="165" t="s">
        <v>407</v>
      </c>
      <c r="D98" s="171">
        <v>10</v>
      </c>
      <c r="E98" s="165" t="s">
        <v>71</v>
      </c>
      <c r="F98" s="165" t="s">
        <v>71</v>
      </c>
      <c r="G98" s="166">
        <v>1</v>
      </c>
      <c r="H98" s="153">
        <f t="shared" ref="H98:H123" si="3">IF(G98=0,0,D98/G98)</f>
        <v>10</v>
      </c>
      <c r="J98" s="154"/>
    </row>
    <row r="99" spans="1:10" x14ac:dyDescent="0.2">
      <c r="A99" s="151">
        <v>98</v>
      </c>
      <c r="B99" s="185" t="s">
        <v>452</v>
      </c>
      <c r="C99" s="185" t="s">
        <v>407</v>
      </c>
      <c r="D99" s="240">
        <v>16</v>
      </c>
      <c r="E99" s="185" t="s">
        <v>71</v>
      </c>
      <c r="F99" s="185" t="s">
        <v>71</v>
      </c>
      <c r="G99" s="166">
        <v>1</v>
      </c>
      <c r="H99" s="153">
        <f t="shared" si="3"/>
        <v>16</v>
      </c>
      <c r="J99" s="154"/>
    </row>
    <row r="100" spans="1:10" x14ac:dyDescent="0.2">
      <c r="A100" s="151">
        <v>99</v>
      </c>
      <c r="B100" s="294" t="s">
        <v>454</v>
      </c>
      <c r="C100" s="274" t="s">
        <v>407</v>
      </c>
      <c r="D100" s="275">
        <v>8</v>
      </c>
      <c r="E100" s="276" t="s">
        <v>71</v>
      </c>
      <c r="F100" s="274" t="s">
        <v>71</v>
      </c>
      <c r="G100" s="156">
        <v>1</v>
      </c>
      <c r="H100" s="153">
        <f t="shared" si="3"/>
        <v>8</v>
      </c>
      <c r="J100" s="154"/>
    </row>
    <row r="101" spans="1:10" x14ac:dyDescent="0.2">
      <c r="A101" s="151">
        <v>100</v>
      </c>
      <c r="B101" s="176" t="s">
        <v>51</v>
      </c>
      <c r="C101" s="186" t="s">
        <v>34</v>
      </c>
      <c r="D101" s="188">
        <v>13</v>
      </c>
      <c r="E101" s="189" t="s">
        <v>71</v>
      </c>
      <c r="F101" s="186" t="s">
        <v>71</v>
      </c>
      <c r="G101" s="166">
        <v>1</v>
      </c>
      <c r="H101" s="153">
        <f t="shared" si="3"/>
        <v>13</v>
      </c>
      <c r="J101" s="154"/>
    </row>
    <row r="102" spans="1:10" x14ac:dyDescent="0.2">
      <c r="A102" s="151">
        <v>101</v>
      </c>
      <c r="B102" s="176" t="s">
        <v>52</v>
      </c>
      <c r="C102" s="186" t="s">
        <v>11</v>
      </c>
      <c r="D102" s="240">
        <v>110</v>
      </c>
      <c r="E102" s="185" t="s">
        <v>437</v>
      </c>
      <c r="F102" s="186" t="s">
        <v>439</v>
      </c>
      <c r="G102" s="166">
        <v>128</v>
      </c>
      <c r="H102" s="153">
        <f t="shared" si="3"/>
        <v>0.859375</v>
      </c>
      <c r="J102" s="154"/>
    </row>
    <row r="103" spans="1:10" x14ac:dyDescent="0.2">
      <c r="A103" s="151">
        <v>102</v>
      </c>
      <c r="B103" s="281" t="s">
        <v>562</v>
      </c>
      <c r="C103" s="281" t="s">
        <v>11</v>
      </c>
      <c r="D103" s="277">
        <v>830</v>
      </c>
      <c r="E103" s="281" t="s">
        <v>437</v>
      </c>
      <c r="F103" s="281" t="s">
        <v>439</v>
      </c>
      <c r="G103" s="156">
        <v>128</v>
      </c>
      <c r="H103" s="153">
        <f t="shared" si="3"/>
        <v>6.484375</v>
      </c>
      <c r="J103" s="154"/>
    </row>
    <row r="104" spans="1:10" x14ac:dyDescent="0.2">
      <c r="A104" s="151">
        <v>103</v>
      </c>
      <c r="B104" s="176" t="s">
        <v>53</v>
      </c>
      <c r="C104" s="186" t="s">
        <v>19</v>
      </c>
      <c r="D104" s="188">
        <v>3</v>
      </c>
      <c r="E104" s="189" t="s">
        <v>438</v>
      </c>
      <c r="F104" s="186" t="s">
        <v>438</v>
      </c>
      <c r="G104" s="166">
        <v>1</v>
      </c>
      <c r="H104" s="153">
        <f t="shared" si="3"/>
        <v>3</v>
      </c>
      <c r="J104" s="154"/>
    </row>
    <row r="105" spans="1:10" x14ac:dyDescent="0.2">
      <c r="A105" s="151">
        <v>104</v>
      </c>
      <c r="B105" s="176" t="s">
        <v>54</v>
      </c>
      <c r="C105" s="186" t="s">
        <v>19</v>
      </c>
      <c r="D105" s="188">
        <v>1.2</v>
      </c>
      <c r="E105" s="189" t="s">
        <v>438</v>
      </c>
      <c r="F105" s="186" t="s">
        <v>438</v>
      </c>
      <c r="G105" s="166">
        <v>1</v>
      </c>
      <c r="H105" s="153">
        <f t="shared" si="3"/>
        <v>1.2</v>
      </c>
      <c r="J105" s="154"/>
    </row>
    <row r="106" spans="1:10" x14ac:dyDescent="0.2">
      <c r="A106" s="151">
        <v>105</v>
      </c>
      <c r="B106" s="176" t="s">
        <v>397</v>
      </c>
      <c r="C106" s="186" t="s">
        <v>11</v>
      </c>
      <c r="D106" s="240">
        <v>750</v>
      </c>
      <c r="E106" s="185" t="s">
        <v>437</v>
      </c>
      <c r="F106" s="186" t="s">
        <v>439</v>
      </c>
      <c r="G106" s="166">
        <v>128</v>
      </c>
      <c r="H106" s="153">
        <f t="shared" si="3"/>
        <v>5.859375</v>
      </c>
      <c r="J106" s="154"/>
    </row>
    <row r="107" spans="1:10" x14ac:dyDescent="0.2">
      <c r="A107" s="151">
        <v>106</v>
      </c>
      <c r="B107" s="176" t="s">
        <v>55</v>
      </c>
      <c r="C107" s="186" t="s">
        <v>11</v>
      </c>
      <c r="D107" s="240">
        <v>14</v>
      </c>
      <c r="E107" s="185" t="s">
        <v>439</v>
      </c>
      <c r="F107" s="186" t="s">
        <v>439</v>
      </c>
      <c r="G107" s="166">
        <v>1</v>
      </c>
      <c r="H107" s="153">
        <f t="shared" si="3"/>
        <v>14</v>
      </c>
      <c r="J107" s="154"/>
    </row>
    <row r="108" spans="1:10" x14ac:dyDescent="0.2">
      <c r="A108" s="151">
        <v>107</v>
      </c>
      <c r="B108" s="176" t="s">
        <v>56</v>
      </c>
      <c r="C108" s="186" t="s">
        <v>3</v>
      </c>
      <c r="D108" s="188">
        <v>7</v>
      </c>
      <c r="E108" s="189" t="s">
        <v>71</v>
      </c>
      <c r="F108" s="186" t="s">
        <v>71</v>
      </c>
      <c r="G108" s="166">
        <v>1</v>
      </c>
      <c r="H108" s="153">
        <f t="shared" si="3"/>
        <v>7</v>
      </c>
      <c r="J108" s="154"/>
    </row>
    <row r="109" spans="1:10" x14ac:dyDescent="0.2">
      <c r="A109" s="151">
        <v>108</v>
      </c>
      <c r="B109" s="281" t="s">
        <v>497</v>
      </c>
      <c r="C109" s="281" t="s">
        <v>11</v>
      </c>
      <c r="D109" s="277">
        <v>3.9</v>
      </c>
      <c r="E109" s="281" t="s">
        <v>439</v>
      </c>
      <c r="F109" s="281" t="s">
        <v>439</v>
      </c>
      <c r="G109" s="156">
        <v>1</v>
      </c>
      <c r="H109" s="153">
        <f t="shared" si="3"/>
        <v>3.9</v>
      </c>
      <c r="J109" s="154"/>
    </row>
    <row r="110" spans="1:10" x14ac:dyDescent="0.2">
      <c r="A110" s="151">
        <v>109</v>
      </c>
      <c r="B110" s="273" t="s">
        <v>539</v>
      </c>
      <c r="C110" s="274" t="s">
        <v>39</v>
      </c>
      <c r="D110" s="277">
        <v>720</v>
      </c>
      <c r="E110" s="276" t="s">
        <v>437</v>
      </c>
      <c r="F110" s="274" t="s">
        <v>439</v>
      </c>
      <c r="G110" s="156">
        <v>128</v>
      </c>
      <c r="H110" s="153">
        <f t="shared" si="3"/>
        <v>5.625</v>
      </c>
      <c r="J110" s="154"/>
    </row>
    <row r="111" spans="1:10" x14ac:dyDescent="0.2">
      <c r="A111" s="151">
        <v>110</v>
      </c>
      <c r="B111" s="176" t="s">
        <v>57</v>
      </c>
      <c r="C111" s="186" t="s">
        <v>19</v>
      </c>
      <c r="D111" s="188">
        <v>180</v>
      </c>
      <c r="E111" s="189" t="s">
        <v>71</v>
      </c>
      <c r="F111" s="186" t="s">
        <v>71</v>
      </c>
      <c r="G111" s="166">
        <v>1</v>
      </c>
      <c r="H111" s="153">
        <f t="shared" si="3"/>
        <v>180</v>
      </c>
    </row>
    <row r="112" spans="1:10" x14ac:dyDescent="0.2">
      <c r="A112" s="151">
        <v>111</v>
      </c>
      <c r="B112" s="176" t="s">
        <v>58</v>
      </c>
      <c r="C112" s="186" t="s">
        <v>19</v>
      </c>
      <c r="D112" s="188">
        <v>1.05</v>
      </c>
      <c r="E112" s="189" t="s">
        <v>438</v>
      </c>
      <c r="F112" s="168" t="s">
        <v>438</v>
      </c>
      <c r="G112" s="166">
        <v>1</v>
      </c>
      <c r="H112" s="153">
        <f t="shared" si="3"/>
        <v>1.05</v>
      </c>
    </row>
    <row r="113" spans="1:8" x14ac:dyDescent="0.2">
      <c r="A113" s="151">
        <v>112</v>
      </c>
      <c r="B113" s="167" t="s">
        <v>59</v>
      </c>
      <c r="C113" s="168" t="s">
        <v>39</v>
      </c>
      <c r="D113" s="169">
        <v>105</v>
      </c>
      <c r="E113" s="170" t="s">
        <v>437</v>
      </c>
      <c r="F113" s="172" t="s">
        <v>439</v>
      </c>
      <c r="G113" s="166">
        <v>128</v>
      </c>
      <c r="H113" s="153">
        <f t="shared" si="3"/>
        <v>0.8203125</v>
      </c>
    </row>
    <row r="114" spans="1:8" x14ac:dyDescent="0.2">
      <c r="A114" s="151">
        <v>113</v>
      </c>
      <c r="B114" s="176" t="s">
        <v>60</v>
      </c>
      <c r="C114" s="186" t="s">
        <v>29</v>
      </c>
      <c r="D114" s="188">
        <v>0.7</v>
      </c>
      <c r="E114" s="189" t="s">
        <v>72</v>
      </c>
      <c r="F114" s="186" t="s">
        <v>64</v>
      </c>
      <c r="G114" s="166">
        <f>1539/2000</f>
        <v>0.76949999999999996</v>
      </c>
      <c r="H114" s="153">
        <f t="shared" si="3"/>
        <v>0.90968161143599735</v>
      </c>
    </row>
    <row r="115" spans="1:8" x14ac:dyDescent="0.2">
      <c r="A115" s="151">
        <v>114</v>
      </c>
      <c r="B115" s="176" t="s">
        <v>61</v>
      </c>
      <c r="C115" s="186" t="s">
        <v>29</v>
      </c>
      <c r="D115" s="188">
        <v>1.23</v>
      </c>
      <c r="E115" s="189" t="s">
        <v>72</v>
      </c>
      <c r="F115" s="186" t="s">
        <v>64</v>
      </c>
      <c r="G115" s="166">
        <f>1362/2000</f>
        <v>0.68100000000000005</v>
      </c>
      <c r="H115" s="153">
        <f t="shared" si="3"/>
        <v>1.8061674008810571</v>
      </c>
    </row>
    <row r="116" spans="1:8" x14ac:dyDescent="0.2">
      <c r="A116" s="151">
        <v>115</v>
      </c>
      <c r="B116" s="176" t="s">
        <v>62</v>
      </c>
      <c r="C116" s="186" t="s">
        <v>29</v>
      </c>
      <c r="D116" s="188">
        <f>30/450</f>
        <v>6.6666666666666666E-2</v>
      </c>
      <c r="E116" s="189" t="s">
        <v>72</v>
      </c>
      <c r="F116" s="186" t="s">
        <v>64</v>
      </c>
      <c r="G116" s="166">
        <f>60/2000</f>
        <v>0.03</v>
      </c>
      <c r="H116" s="153">
        <f t="shared" si="3"/>
        <v>2.2222222222222223</v>
      </c>
    </row>
    <row r="117" spans="1:8" x14ac:dyDescent="0.2">
      <c r="A117" s="151">
        <v>116</v>
      </c>
      <c r="B117" s="176" t="s">
        <v>63</v>
      </c>
      <c r="C117" s="186" t="s">
        <v>7</v>
      </c>
      <c r="D117" s="188">
        <v>1</v>
      </c>
      <c r="E117" s="189" t="s">
        <v>64</v>
      </c>
      <c r="F117" s="186" t="s">
        <v>64</v>
      </c>
      <c r="G117" s="166">
        <v>1</v>
      </c>
      <c r="H117" s="153">
        <f t="shared" si="3"/>
        <v>1</v>
      </c>
    </row>
    <row r="118" spans="1:8" x14ac:dyDescent="0.2">
      <c r="A118" s="151">
        <v>117</v>
      </c>
      <c r="B118" s="273" t="s">
        <v>501</v>
      </c>
      <c r="C118" s="274" t="s">
        <v>11</v>
      </c>
      <c r="D118" s="275">
        <v>83</v>
      </c>
      <c r="E118" s="276" t="s">
        <v>438</v>
      </c>
      <c r="F118" s="274" t="s">
        <v>439</v>
      </c>
      <c r="G118" s="156">
        <v>16</v>
      </c>
      <c r="H118" s="153">
        <f t="shared" si="3"/>
        <v>5.1875</v>
      </c>
    </row>
    <row r="119" spans="1:8" x14ac:dyDescent="0.2">
      <c r="A119" s="151">
        <v>118</v>
      </c>
      <c r="B119" s="185" t="s">
        <v>555</v>
      </c>
      <c r="C119" s="185" t="s">
        <v>11</v>
      </c>
      <c r="D119" s="240">
        <v>35</v>
      </c>
      <c r="E119" s="185" t="s">
        <v>438</v>
      </c>
      <c r="F119" s="185" t="s">
        <v>438</v>
      </c>
      <c r="G119" s="166">
        <v>1</v>
      </c>
      <c r="H119" s="153">
        <f t="shared" si="3"/>
        <v>35</v>
      </c>
    </row>
    <row r="120" spans="1:8" x14ac:dyDescent="0.2">
      <c r="A120" s="151">
        <v>119</v>
      </c>
      <c r="B120" s="281" t="s">
        <v>559</v>
      </c>
      <c r="C120" s="281" t="s">
        <v>11</v>
      </c>
      <c r="D120" s="277">
        <v>500</v>
      </c>
      <c r="E120" s="281" t="s">
        <v>437</v>
      </c>
      <c r="F120" s="281" t="s">
        <v>439</v>
      </c>
      <c r="G120" s="156">
        <v>128</v>
      </c>
      <c r="H120" s="153">
        <f t="shared" si="3"/>
        <v>3.90625</v>
      </c>
    </row>
    <row r="121" spans="1:8" x14ac:dyDescent="0.2">
      <c r="A121" s="151">
        <v>120</v>
      </c>
      <c r="B121" s="176" t="s">
        <v>424</v>
      </c>
      <c r="C121" s="186" t="s">
        <v>21</v>
      </c>
      <c r="D121" s="188">
        <v>380</v>
      </c>
      <c r="E121" s="189" t="s">
        <v>437</v>
      </c>
      <c r="F121" s="186" t="s">
        <v>439</v>
      </c>
      <c r="G121" s="166">
        <v>128</v>
      </c>
      <c r="H121" s="153">
        <f t="shared" si="3"/>
        <v>2.96875</v>
      </c>
    </row>
    <row r="122" spans="1:8" x14ac:dyDescent="0.2">
      <c r="A122" s="151">
        <v>121</v>
      </c>
      <c r="B122" s="162" t="s">
        <v>592</v>
      </c>
      <c r="C122" s="162" t="s">
        <v>19</v>
      </c>
      <c r="D122" s="160">
        <v>0.12</v>
      </c>
      <c r="E122" s="162" t="s">
        <v>438</v>
      </c>
      <c r="F122" s="162" t="s">
        <v>438</v>
      </c>
      <c r="G122" s="292">
        <v>1</v>
      </c>
      <c r="H122" s="293">
        <f t="shared" si="3"/>
        <v>0.12</v>
      </c>
    </row>
    <row r="123" spans="1:8" x14ac:dyDescent="0.2">
      <c r="A123" s="151">
        <v>122</v>
      </c>
      <c r="B123" s="60" t="s">
        <v>544</v>
      </c>
      <c r="C123" s="60" t="s">
        <v>19</v>
      </c>
      <c r="D123" s="277">
        <v>0.28000000000000003</v>
      </c>
      <c r="E123" s="60" t="s">
        <v>438</v>
      </c>
      <c r="F123" s="274" t="s">
        <v>438</v>
      </c>
      <c r="G123" s="292">
        <v>1</v>
      </c>
      <c r="H123" s="293">
        <f t="shared" si="3"/>
        <v>0.28000000000000003</v>
      </c>
    </row>
    <row r="124" spans="1:8" x14ac:dyDescent="0.2">
      <c r="A124" s="151">
        <v>123</v>
      </c>
    </row>
    <row r="125" spans="1:8" x14ac:dyDescent="0.2">
      <c r="A125" s="151">
        <v>124</v>
      </c>
    </row>
    <row r="126" spans="1:8" x14ac:dyDescent="0.2">
      <c r="A126" s="151">
        <v>125</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pageSetUpPr fitToPage="1"/>
  </sheetPr>
  <dimension ref="A2:O231"/>
  <sheetViews>
    <sheetView tabSelected="1" workbookViewId="0"/>
  </sheetViews>
  <sheetFormatPr defaultRowHeight="12.75" x14ac:dyDescent="0.2"/>
  <cols>
    <col min="1" max="1" width="5.140625" style="216" customWidth="1"/>
    <col min="2" max="2" width="27.28515625" style="216" customWidth="1"/>
    <col min="3" max="3" width="7.28515625" style="216" customWidth="1"/>
    <col min="4" max="4" width="4.7109375" style="216" customWidth="1"/>
    <col min="5" max="5" width="9.140625" style="216"/>
    <col min="6" max="6" width="11.140625" style="216" customWidth="1"/>
    <col min="7" max="7" width="8" style="216" customWidth="1"/>
    <col min="8" max="8" width="7.7109375" style="216" customWidth="1"/>
    <col min="9" max="9" width="9.140625" style="216" customWidth="1"/>
    <col min="10" max="10" width="9.140625" style="216"/>
    <col min="11" max="11" width="8.7109375" style="216" customWidth="1"/>
    <col min="12" max="16384" width="9.140625" style="216"/>
  </cols>
  <sheetData>
    <row r="2" spans="1:15" ht="14.25" hidden="1" customHeight="1" x14ac:dyDescent="0.2">
      <c r="A2" s="249" t="s">
        <v>546</v>
      </c>
      <c r="B2" s="246"/>
      <c r="C2" s="247"/>
      <c r="D2" s="247"/>
      <c r="E2" s="246"/>
      <c r="F2" s="250" t="s">
        <v>471</v>
      </c>
      <c r="G2" s="246"/>
      <c r="J2" s="244"/>
      <c r="K2" s="245" t="str">
        <f>'General Variables'!A3&amp;" "&amp;'General Variables'!B3</f>
        <v>Year 2015</v>
      </c>
      <c r="O2" s="233" t="s">
        <v>458</v>
      </c>
    </row>
    <row r="3" spans="1:15" hidden="1" x14ac:dyDescent="0.2">
      <c r="A3" s="249" t="s">
        <v>533</v>
      </c>
      <c r="B3" s="246"/>
      <c r="C3" s="247"/>
      <c r="D3" s="247"/>
      <c r="E3" s="246"/>
      <c r="F3" s="247"/>
      <c r="G3" s="248"/>
      <c r="H3" s="251" t="s">
        <v>395</v>
      </c>
      <c r="I3" s="246" t="str">
        <f>IF(H3="","","acre-inches")</f>
        <v/>
      </c>
      <c r="J3" s="244"/>
      <c r="K3" s="244"/>
      <c r="O3" s="233" t="s">
        <v>457</v>
      </c>
    </row>
    <row r="4" spans="1:15" hidden="1" x14ac:dyDescent="0.2">
      <c r="A4" s="182">
        <v>2.8</v>
      </c>
      <c r="B4" s="249" t="s">
        <v>64</v>
      </c>
      <c r="C4" s="247"/>
      <c r="D4" s="247"/>
      <c r="E4" s="246"/>
      <c r="F4" s="246"/>
      <c r="G4" s="246"/>
      <c r="H4" s="246"/>
      <c r="I4" s="246"/>
      <c r="J4" s="244"/>
      <c r="K4" s="244"/>
      <c r="O4" s="233" t="str">
        <f>B4</f>
        <v>ton</v>
      </c>
    </row>
    <row r="5" spans="1:15" ht="30" customHeight="1" x14ac:dyDescent="0.25">
      <c r="A5" s="327" t="str">
        <f>'General Variables'!B3 &amp; " " &amp; A2 &amp; ", " &amp; A3 &amp; IF(A4=""," ", " (") &amp; A4 &amp; " " &amp; B4 &amp; IF(A4="",""," Actual Yield)")</f>
        <v>2015 Budget 5. Alfalfa Roundup Ready, Establish spring seed (2.8 ton Actual Yield)</v>
      </c>
      <c r="B5" s="327"/>
      <c r="C5" s="327"/>
      <c r="D5" s="327"/>
      <c r="E5" s="327"/>
      <c r="F5" s="327"/>
      <c r="G5" s="327"/>
      <c r="H5" s="327"/>
      <c r="I5" s="327"/>
      <c r="J5" s="327"/>
      <c r="K5" s="327"/>
      <c r="L5" s="327"/>
      <c r="O5" s="233"/>
    </row>
    <row r="6" spans="1:15" ht="15.75" x14ac:dyDescent="0.25">
      <c r="A6" s="180" t="str">
        <f>IF(F2="Dryland","Dryland",F2 &amp; IF(G2="","",", "&amp;G2)&amp;IF(H3="","",", "&amp;H3&amp;" "&amp;I3))</f>
        <v>Dryland</v>
      </c>
      <c r="B6" s="249"/>
      <c r="C6" s="247"/>
      <c r="D6" s="247"/>
      <c r="E6" s="246"/>
      <c r="F6" s="246"/>
      <c r="G6" s="246"/>
      <c r="H6" s="246"/>
      <c r="I6" s="246"/>
      <c r="J6" s="245" t="s">
        <v>570</v>
      </c>
      <c r="K6" s="283"/>
      <c r="O6" s="233"/>
    </row>
    <row r="8" spans="1:15" s="235" customFormat="1" ht="22.5" customHeight="1" x14ac:dyDescent="0.2">
      <c r="B8" s="323" t="s">
        <v>80</v>
      </c>
      <c r="C8" s="322" t="s">
        <v>1</v>
      </c>
      <c r="D8" s="269"/>
      <c r="E8" s="322" t="str">
        <f>"Labor @ $" &amp;TEXT('General Variables'!B4,"#.00")&amp; " /Hr"</f>
        <v>Labor @ $20.00 /Hr</v>
      </c>
      <c r="F8" s="322" t="str">
        <f>"Fuel @ $" &amp; TEXT('General Variables'!B5,"#.00") &amp; " and Lube"</f>
        <v>Fuel @ $3.25 and Lube</v>
      </c>
      <c r="G8" s="325" t="s">
        <v>81</v>
      </c>
      <c r="H8" s="325"/>
      <c r="I8" s="325" t="s">
        <v>380</v>
      </c>
      <c r="J8" s="325"/>
      <c r="K8" s="325" t="s">
        <v>2</v>
      </c>
      <c r="L8" s="322" t="s">
        <v>400</v>
      </c>
    </row>
    <row r="9" spans="1:15" s="235" customFormat="1" ht="17.25" customHeight="1" thickBot="1" x14ac:dyDescent="0.25">
      <c r="B9" s="324"/>
      <c r="C9" s="321"/>
      <c r="D9" s="270" t="s">
        <v>77</v>
      </c>
      <c r="E9" s="321"/>
      <c r="F9" s="321"/>
      <c r="G9" s="271" t="s">
        <v>82</v>
      </c>
      <c r="H9" s="271" t="s">
        <v>84</v>
      </c>
      <c r="I9" s="271" t="s">
        <v>82</v>
      </c>
      <c r="J9" s="271" t="s">
        <v>84</v>
      </c>
      <c r="K9" s="326"/>
      <c r="L9" s="321"/>
    </row>
    <row r="10" spans="1:15" ht="13.5" thickTop="1" x14ac:dyDescent="0.2">
      <c r="A10" s="272">
        <v>1</v>
      </c>
      <c r="B10" s="261" t="s">
        <v>318</v>
      </c>
      <c r="C10" s="257">
        <v>1</v>
      </c>
      <c r="D10" s="263"/>
      <c r="E10" s="31">
        <f>IF(B10=0,"",IF(C10&gt;9999,"",ROUND('General Variables'!$B$4*VLOOKUP(B10,Operations[],10,FALSE)/VLOOKUP(B10,Operations[],9,FALSE)*C10,2)))</f>
        <v>1.57</v>
      </c>
      <c r="F10" s="31">
        <f>IF(B10=0,0,IF(C10&gt;9999,"",ROUND(IF(VLOOKUP(B10,Operations[],12,FALSE)=0,VLOOKUP(B10,Operations[],13,FALSE)*'General Variables'!$B$8,VLOOKUP(B10,Operations[],12,FALSE)*'General Variables'!$B$7)/VLOOKUP(B10,Operations[],9,FALSE)*C10,2)))</f>
        <v>1.1399999999999999</v>
      </c>
      <c r="G10" s="31">
        <f>IF(B10=0,0,IF(C10&gt;9999,"",ROUND(VLOOKUP(VLOOKUP(B10,Operations[],11,FALSE),PowerUnits[],10,FALSE)/VLOOKUP(B10,Operations[],9,FALSE)*C10,2)))</f>
        <v>0.65</v>
      </c>
      <c r="H10" s="31">
        <f>IF(B10=0,"",IF(C10&gt;9999,"",ROUND(VLOOKUP($B10,Operations[],15,FALSE)*C10,2)))</f>
        <v>0</v>
      </c>
      <c r="I10" s="31">
        <f>IF(B10=0,0,IF(C10&gt;9999,"",ROUND(VLOOKUP(VLOOKUP(B10,Operations[],11,FALSE),PowerUnits[],16,FALSE)/VLOOKUP(B10,Operations[],9,FALSE)*C10,2)))</f>
        <v>2.15</v>
      </c>
      <c r="J10" s="31">
        <f>IF(B10=0,"",IF(C10&gt;9999,"",ROUND(VLOOKUP($B10,Operations[],21,FALSE)*$C10,2)))</f>
        <v>0</v>
      </c>
      <c r="K10" s="31">
        <f>IF(C10&gt;9999,"",ROUND(SUM(E10:J10),2))</f>
        <v>5.51</v>
      </c>
      <c r="L10" s="34"/>
    </row>
    <row r="11" spans="1:15" x14ac:dyDescent="0.2">
      <c r="A11" s="272">
        <v>2</v>
      </c>
      <c r="B11" s="261" t="s">
        <v>288</v>
      </c>
      <c r="C11" s="257">
        <v>1</v>
      </c>
      <c r="D11" s="263"/>
      <c r="E11" s="31">
        <f>IF(B11=0,"",IF(C11&gt;9999,"",ROUND('General Variables'!$B$4*VLOOKUP(B11,Operations[],10,FALSE)/VLOOKUP(B11,Operations[],9,FALSE)*C11,2)))</f>
        <v>2.02</v>
      </c>
      <c r="F11" s="31">
        <f>IF(B11=0,0,IF(C11&gt;9999,"",ROUND(IF(VLOOKUP(B11,Operations[],12,FALSE)=0,VLOOKUP(B11,Operations[],13,FALSE)*'General Variables'!$B$8,VLOOKUP(B11,Operations[],12,FALSE)*'General Variables'!$B$7)/VLOOKUP(B11,Operations[],9,FALSE)*C11,2)))</f>
        <v>2.84</v>
      </c>
      <c r="G11" s="31">
        <f>IF(B11=0,0,IF(C11&gt;9999,"",ROUND(VLOOKUP(VLOOKUP(B11,Operations[],11,FALSE),PowerUnits[],10,FALSE)/VLOOKUP(B11,Operations[],9,FALSE)*C11,2)))</f>
        <v>0.28999999999999998</v>
      </c>
      <c r="H11" s="31">
        <f>IF(B11=0,"",IF(C11&gt;9999,"",ROUND(VLOOKUP($B11,Operations[],15,FALSE)*C11,2)))</f>
        <v>1.1200000000000001</v>
      </c>
      <c r="I11" s="31">
        <f>IF(B11=0,0,IF(C11&gt;9999,"",ROUND(VLOOKUP(VLOOKUP(B11,Operations[],11,FALSE),PowerUnits[],16,FALSE)/VLOOKUP(B11,Operations[],9,FALSE)*C11,2)))</f>
        <v>4.1399999999999997</v>
      </c>
      <c r="J11" s="31">
        <f>IF(B11=0,"",IF(C11&gt;9999,"",ROUND(VLOOKUP($B11,Operations[],21,FALSE)*$C11,2)))</f>
        <v>1.0900000000000001</v>
      </c>
      <c r="K11" s="31">
        <f t="shared" ref="K11:K29" si="0">IF(C11&gt;9999,"",ROUND(SUM(E11:J11),2))</f>
        <v>11.5</v>
      </c>
      <c r="L11" s="34"/>
    </row>
    <row r="12" spans="1:15" x14ac:dyDescent="0.2">
      <c r="A12" s="272">
        <v>3</v>
      </c>
      <c r="B12" s="261" t="s">
        <v>294</v>
      </c>
      <c r="C12" s="257">
        <v>1</v>
      </c>
      <c r="D12" s="263"/>
      <c r="E12" s="31">
        <f>IF(B12=0,"",IF(C12&gt;9999,"",ROUND('General Variables'!$B$4*VLOOKUP(B12,Operations[],10,FALSE)/VLOOKUP(B12,Operations[],9,FALSE)*C12,2)))</f>
        <v>1.47</v>
      </c>
      <c r="F12" s="31">
        <f>IF(B12=0,0,IF(C12&gt;9999,"",ROUND(IF(VLOOKUP(B12,Operations[],12,FALSE)=0,VLOOKUP(B12,Operations[],13,FALSE)*'General Variables'!$B$8,VLOOKUP(B12,Operations[],12,FALSE)*'General Variables'!$B$7)/VLOOKUP(B12,Operations[],9,FALSE)*C12,2)))</f>
        <v>2.04</v>
      </c>
      <c r="G12" s="31">
        <f>IF(B12=0,0,IF(C12&gt;9999,"",ROUND(VLOOKUP(VLOOKUP(B12,Operations[],11,FALSE),PowerUnits[],10,FALSE)/VLOOKUP(B12,Operations[],9,FALSE)*C12,2)))</f>
        <v>0.55000000000000004</v>
      </c>
      <c r="H12" s="31">
        <f>IF(B12=0,"",IF(C12&gt;9999,"",ROUND(VLOOKUP($B12,Operations[],15,FALSE)*C12,2)))</f>
        <v>1.27</v>
      </c>
      <c r="I12" s="31">
        <f>IF(B12=0,0,IF(C12&gt;9999,"",ROUND(VLOOKUP(VLOOKUP(B12,Operations[],11,FALSE),PowerUnits[],16,FALSE)/VLOOKUP(B12,Operations[],9,FALSE)*C12,2)))</f>
        <v>1.82</v>
      </c>
      <c r="J12" s="31">
        <f>IF(B12=0,"",IF(C12&gt;9999,"",ROUND(VLOOKUP($B12,Operations[],21,FALSE)*$C12,2)))</f>
        <v>1.56</v>
      </c>
      <c r="K12" s="31">
        <f t="shared" si="0"/>
        <v>8.7100000000000009</v>
      </c>
      <c r="L12" s="34"/>
    </row>
    <row r="13" spans="1:15" x14ac:dyDescent="0.2">
      <c r="A13" s="272">
        <v>4</v>
      </c>
      <c r="B13" s="261" t="s">
        <v>315</v>
      </c>
      <c r="C13" s="257">
        <v>1</v>
      </c>
      <c r="D13" s="263"/>
      <c r="E13" s="31">
        <f>IF(B13=0,"",IF(C13&gt;9999,"",ROUND('General Variables'!$B$4*VLOOKUP(B13,Operations[],10,FALSE)/VLOOKUP(B13,Operations[],9,FALSE)*C13,2)))</f>
        <v>3</v>
      </c>
      <c r="F13" s="31">
        <f>IF(B13=0,0,IF(C13&gt;9999,"",ROUND(IF(VLOOKUP(B13,Operations[],12,FALSE)=0,VLOOKUP(B13,Operations[],13,FALSE)*'General Variables'!$B$8,VLOOKUP(B13,Operations[],12,FALSE)*'General Variables'!$B$7)/VLOOKUP(B13,Operations[],9,FALSE)*C13,2)))</f>
        <v>2.0099999999999998</v>
      </c>
      <c r="G13" s="31">
        <f>IF(B13=0,0,IF(C13&gt;9999,"",ROUND(VLOOKUP(VLOOKUP(B13,Operations[],11,FALSE),PowerUnits[],10,FALSE)/VLOOKUP(B13,Operations[],9,FALSE)*C13,2)))</f>
        <v>1.03</v>
      </c>
      <c r="H13" s="31">
        <f>IF(B13=0,"",IF(C13&gt;9999,"",ROUND(VLOOKUP($B13,Operations[],15,FALSE)*C13,2)))</f>
        <v>3.48</v>
      </c>
      <c r="I13" s="31">
        <f>IF(B13=0,0,IF(C13&gt;9999,"",ROUND(VLOOKUP(VLOOKUP(B13,Operations[],11,FALSE),PowerUnits[],16,FALSE)/VLOOKUP(B13,Operations[],9,FALSE)*C13,2)))</f>
        <v>3.42</v>
      </c>
      <c r="J13" s="31">
        <f>IF(B13=0,"",IF(C13&gt;9999,"",ROUND(VLOOKUP($B13,Operations[],21,FALSE)*$C13,2)))</f>
        <v>3.34</v>
      </c>
      <c r="K13" s="31">
        <f t="shared" si="0"/>
        <v>16.28</v>
      </c>
      <c r="L13" s="34"/>
    </row>
    <row r="14" spans="1:15" x14ac:dyDescent="0.2">
      <c r="A14" s="272">
        <v>5</v>
      </c>
      <c r="B14" s="261" t="s">
        <v>56</v>
      </c>
      <c r="C14" s="257">
        <v>0.2</v>
      </c>
      <c r="D14" s="263"/>
      <c r="E14" s="31">
        <f>IF(B14=0,"",IF(C14&gt;9999,"",ROUND('General Variables'!$B$4*VLOOKUP(B14,Operations[],10,FALSE)/VLOOKUP(B14,Operations[],9,FALSE)*C14,2)))</f>
        <v>0.2</v>
      </c>
      <c r="F14" s="31">
        <f>IF(B14=0,0,IF(C14&gt;9999,"",ROUND(IF(VLOOKUP(B14,Operations[],12,FALSE)=0,VLOOKUP(B14,Operations[],13,FALSE)*'General Variables'!$B$8,VLOOKUP(B14,Operations[],12,FALSE)*'General Variables'!$B$7)/VLOOKUP(B14,Operations[],9,FALSE)*C14,2)))</f>
        <v>0.08</v>
      </c>
      <c r="G14" s="31">
        <f>IF(B14=0,0,IF(C14&gt;9999,"",ROUND(VLOOKUP(VLOOKUP(B14,Operations[],11,FALSE),PowerUnits[],10,FALSE)/VLOOKUP(B14,Operations[],9,FALSE)*C14,2)))</f>
        <v>7.0000000000000007E-2</v>
      </c>
      <c r="H14" s="31">
        <f>IF(B14=0,"",IF(C14&gt;9999,"",ROUND(VLOOKUP($B14,Operations[],15,FALSE)*C14,2)))</f>
        <v>0.12</v>
      </c>
      <c r="I14" s="31">
        <f>IF(B14=0,0,IF(C14&gt;9999,"",ROUND(VLOOKUP(VLOOKUP(B14,Operations[],11,FALSE),PowerUnits[],16,FALSE)/VLOOKUP(B14,Operations[],9,FALSE)*C14,2)))</f>
        <v>0.22</v>
      </c>
      <c r="J14" s="31">
        <f>IF(B14=0,"",IF(C14&gt;9999,"",ROUND(VLOOKUP($B14,Operations[],21,FALSE)*$C14,2)))</f>
        <v>0.17</v>
      </c>
      <c r="K14" s="31">
        <f t="shared" si="0"/>
        <v>0.86</v>
      </c>
      <c r="L14" s="34"/>
    </row>
    <row r="15" spans="1:15" x14ac:dyDescent="0.2">
      <c r="A15" s="272">
        <v>6</v>
      </c>
      <c r="B15" s="261" t="s">
        <v>56</v>
      </c>
      <c r="C15" s="257">
        <v>1</v>
      </c>
      <c r="D15" s="263"/>
      <c r="E15" s="31">
        <f>IF(B15=0,"",IF(C15&gt;9999,"",ROUND('General Variables'!$B$4*VLOOKUP(B15,Operations[],10,FALSE)/VLOOKUP(B15,Operations[],9,FALSE)*C15,2)))</f>
        <v>1</v>
      </c>
      <c r="F15" s="31">
        <f>IF(B15=0,0,IF(C15&gt;9999,"",ROUND(IF(VLOOKUP(B15,Operations[],12,FALSE)=0,VLOOKUP(B15,Operations[],13,FALSE)*'General Variables'!$B$8,VLOOKUP(B15,Operations[],12,FALSE)*'General Variables'!$B$7)/VLOOKUP(B15,Operations[],9,FALSE)*C15,2)))</f>
        <v>0.39</v>
      </c>
      <c r="G15" s="31">
        <f>IF(B15=0,0,IF(C15&gt;9999,"",ROUND(VLOOKUP(VLOOKUP(B15,Operations[],11,FALSE),PowerUnits[],10,FALSE)/VLOOKUP(B15,Operations[],9,FALSE)*C15,2)))</f>
        <v>0.33</v>
      </c>
      <c r="H15" s="31">
        <f>IF(B15=0,"",IF(C15&gt;9999,"",ROUND(VLOOKUP($B15,Operations[],15,FALSE)*C15,2)))</f>
        <v>0.62</v>
      </c>
      <c r="I15" s="31">
        <f>IF(B15=0,0,IF(C15&gt;9999,"",ROUND(VLOOKUP(VLOOKUP(B15,Operations[],11,FALSE),PowerUnits[],16,FALSE)/VLOOKUP(B15,Operations[],9,FALSE)*C15,2)))</f>
        <v>1.0900000000000001</v>
      </c>
      <c r="J15" s="31">
        <f>IF(B15=0,"",IF(C15&gt;9999,"",ROUND(VLOOKUP($B15,Operations[],21,FALSE)*$C15,2)))</f>
        <v>0.86</v>
      </c>
      <c r="K15" s="31">
        <f t="shared" si="0"/>
        <v>4.29</v>
      </c>
      <c r="L15" s="34"/>
    </row>
    <row r="16" spans="1:15" x14ac:dyDescent="0.2">
      <c r="A16" s="272">
        <v>7</v>
      </c>
      <c r="B16" s="261" t="s">
        <v>321</v>
      </c>
      <c r="C16" s="257">
        <v>2</v>
      </c>
      <c r="D16" s="263"/>
      <c r="E16" s="31">
        <f>IF(B16=0,"",IF(C16&gt;9999,"",ROUND('General Variables'!$B$4*VLOOKUP(B16,Operations[],10,FALSE)/VLOOKUP(B16,Operations[],9,FALSE)*C16,2)))</f>
        <v>5</v>
      </c>
      <c r="F16" s="31">
        <f>IF(B16=0,0,IF(C16&gt;9999,"",ROUND(IF(VLOOKUP(B16,Operations[],12,FALSE)=0,VLOOKUP(B16,Operations[],13,FALSE)*'General Variables'!$B$8,VLOOKUP(B16,Operations[],12,FALSE)*'General Variables'!$B$7)/VLOOKUP(B16,Operations[],9,FALSE)*C16,2)))</f>
        <v>4.67</v>
      </c>
      <c r="G16" s="31">
        <f>IF(B16=0,0,IF(C16&gt;9999,"",ROUND(VLOOKUP(VLOOKUP(B16,Operations[],11,FALSE),PowerUnits[],10,FALSE)/VLOOKUP(B16,Operations[],9,FALSE)*C16,2)))</f>
        <v>4.38</v>
      </c>
      <c r="H16" s="31">
        <f>IF(B16=0,"",IF(C16&gt;9999,"",ROUND(VLOOKUP($B16,Operations[],15,FALSE)*C16,2)))</f>
        <v>0.56999999999999995</v>
      </c>
      <c r="I16" s="31">
        <f>IF(B16=0,0,IF(C16&gt;9999,"",ROUND(VLOOKUP(VLOOKUP(B16,Operations[],11,FALSE),PowerUnits[],16,FALSE)/VLOOKUP(B16,Operations[],9,FALSE)*C16,2)))</f>
        <v>6.92</v>
      </c>
      <c r="J16" s="31">
        <f>IF(B16=0,"",IF(C16&gt;9999,"",ROUND(VLOOKUP($B16,Operations[],21,FALSE)*$C16,2)))</f>
        <v>0.86</v>
      </c>
      <c r="K16" s="31">
        <f t="shared" si="0"/>
        <v>22.4</v>
      </c>
      <c r="L16" s="34"/>
    </row>
    <row r="17" spans="1:12" x14ac:dyDescent="0.2">
      <c r="A17" s="272">
        <v>8</v>
      </c>
      <c r="B17" s="261" t="s">
        <v>325</v>
      </c>
      <c r="C17" s="257">
        <v>0.5</v>
      </c>
      <c r="D17" s="263"/>
      <c r="E17" s="31">
        <f>IF(B17=0,"",IF(C17&gt;9999,"",ROUND('General Variables'!$B$4*VLOOKUP(B17,Operations[],10,FALSE)/VLOOKUP(B17,Operations[],9,FALSE)*C17,2)))</f>
        <v>0.83</v>
      </c>
      <c r="F17" s="31">
        <f>IF(B17=0,0,IF(C17&gt;9999,"",ROUND(IF(VLOOKUP(B17,Operations[],12,FALSE)=0,VLOOKUP(B17,Operations[],13,FALSE)*'General Variables'!$B$8,VLOOKUP(B17,Operations[],12,FALSE)*'General Variables'!$B$7)/VLOOKUP(B17,Operations[],9,FALSE)*C17,2)))</f>
        <v>0.33</v>
      </c>
      <c r="G17" s="31">
        <f>IF(B17=0,0,IF(C17&gt;9999,"",ROUND(VLOOKUP(VLOOKUP(B17,Operations[],11,FALSE),PowerUnits[],10,FALSE)/VLOOKUP(B17,Operations[],9,FALSE)*C17,2)))</f>
        <v>0.34</v>
      </c>
      <c r="H17" s="31">
        <f>IF(B17=0,"",IF(C17&gt;9999,"",ROUND(VLOOKUP($B17,Operations[],15,FALSE)*C17,2)))</f>
        <v>0.05</v>
      </c>
      <c r="I17" s="31">
        <f>IF(B17=0,0,IF(C17&gt;9999,"",ROUND(VLOOKUP(VLOOKUP(B17,Operations[],11,FALSE),PowerUnits[],16,FALSE)/VLOOKUP(B17,Operations[],9,FALSE)*C17,2)))</f>
        <v>1.1399999999999999</v>
      </c>
      <c r="J17" s="31">
        <f>IF(B17=0,"",IF(C17&gt;9999,"",ROUND(VLOOKUP($B17,Operations[],21,FALSE)*$C17,2)))</f>
        <v>0.16</v>
      </c>
      <c r="K17" s="31">
        <f t="shared" si="0"/>
        <v>2.85</v>
      </c>
      <c r="L17" s="34"/>
    </row>
    <row r="18" spans="1:12" x14ac:dyDescent="0.2">
      <c r="A18" s="272">
        <v>9</v>
      </c>
      <c r="B18" s="261" t="s">
        <v>316</v>
      </c>
      <c r="C18" s="61">
        <f>A4</f>
        <v>2.8</v>
      </c>
      <c r="D18" s="163" t="s">
        <v>64</v>
      </c>
      <c r="E18" s="31">
        <f>IF(B18=0,"",IF(C18&gt;9999,"",ROUND('General Variables'!$B$4*VLOOKUP(B18,Operations[],10,FALSE)/VLOOKUP(B18,Operations[],9,FALSE)*C18,2)))</f>
        <v>15.4</v>
      </c>
      <c r="F18" s="31">
        <f>IF(B18=0,0,IF(C18&gt;9999,"",ROUND(IF(VLOOKUP(B18,Operations[],12,FALSE)=0,VLOOKUP(B18,Operations[],13,FALSE)*'General Variables'!$B$8,VLOOKUP(B18,Operations[],12,FALSE)*'General Variables'!$B$7)/VLOOKUP(B18,Operations[],9,FALSE)*C18,2)))</f>
        <v>9.16</v>
      </c>
      <c r="G18" s="31">
        <f>IF(B18=0,0,IF(C18&gt;9999,"",ROUND(VLOOKUP(VLOOKUP(B18,Operations[],11,FALSE),PowerUnits[],10,FALSE)/VLOOKUP(B18,Operations[],9,FALSE)*C18,2)))</f>
        <v>5.77</v>
      </c>
      <c r="H18" s="31">
        <f>IF(B18=0,"",IF(C18&gt;9999,"",ROUND(VLOOKUP($B18,Operations[],15,FALSE)*C18,2)))</f>
        <v>10.44</v>
      </c>
      <c r="I18" s="31">
        <f>IF(B18=0,0,IF(C18&gt;9999,"",ROUND(VLOOKUP(VLOOKUP(B18,Operations[],11,FALSE),PowerUnits[],16,FALSE)/VLOOKUP(B18,Operations[],9,FALSE)*C18,2)))</f>
        <v>19.14</v>
      </c>
      <c r="J18" s="31">
        <f>IF(B18=0,"",IF(C18&gt;9999,"",ROUND(VLOOKUP($B18,Operations[],21,FALSE)*$C18,2)))</f>
        <v>2.62</v>
      </c>
      <c r="K18" s="31">
        <f>IF(C18&gt;9999,"",ROUND(SUM(E18:J18),2))</f>
        <v>62.53</v>
      </c>
      <c r="L18" s="34"/>
    </row>
    <row r="19" spans="1:12" x14ac:dyDescent="0.2">
      <c r="A19" s="272">
        <v>10</v>
      </c>
      <c r="B19" s="261" t="s">
        <v>319</v>
      </c>
      <c r="C19" s="61">
        <f>A4</f>
        <v>2.8</v>
      </c>
      <c r="D19" s="163" t="s">
        <v>64</v>
      </c>
      <c r="E19" s="31">
        <f>IF(B19=0,"",IF(C19&gt;9999,"",ROUND('General Variables'!$B$4*VLOOKUP(B19,Operations[],10,FALSE)/VLOOKUP(B19,Operations[],9,FALSE)*C19,2)))</f>
        <v>5.6</v>
      </c>
      <c r="F19" s="31">
        <f>IF(B19=0,0,IF(C19&gt;9999,"",ROUND(IF(VLOOKUP(B19,Operations[],12,FALSE)=0,VLOOKUP(B19,Operations[],13,FALSE)*'General Variables'!$B$8,VLOOKUP(B19,Operations[],12,FALSE)*'General Variables'!$B$7)/VLOOKUP(B19,Operations[],9,FALSE)*C19,2)))</f>
        <v>2.09</v>
      </c>
      <c r="G19" s="31">
        <f>IF(B19=0,0,IF(C19&gt;9999,"",ROUND(VLOOKUP(VLOOKUP(B19,Operations[],11,FALSE),PowerUnits[],10,FALSE)/VLOOKUP(B19,Operations[],9,FALSE)*C19,2)))</f>
        <v>2.31</v>
      </c>
      <c r="H19" s="31">
        <f>IF(B19=0,"",IF(C19&gt;9999,"",ROUND(VLOOKUP($B19,Operations[],15,FALSE)*C19,2)))</f>
        <v>0.8</v>
      </c>
      <c r="I19" s="31">
        <f>IF(B19=0,0,IF(C19&gt;9999,"",ROUND(VLOOKUP(VLOOKUP(B19,Operations[],11,FALSE),PowerUnits[],16,FALSE)/VLOOKUP(B19,Operations[],9,FALSE)*C19,2)))</f>
        <v>7.65</v>
      </c>
      <c r="J19" s="31">
        <f>IF(B19=0,"",IF(C19&gt;9999,"",ROUND(VLOOKUP($B19,Operations[],21,FALSE)*$C19,2)))</f>
        <v>1.26</v>
      </c>
      <c r="K19" s="31">
        <f>IF(C19&gt;9999,"",ROUND(SUM(E19:J19),2))</f>
        <v>19.71</v>
      </c>
      <c r="L19" s="34"/>
    </row>
    <row r="20" spans="1:12" hidden="1" x14ac:dyDescent="0.2">
      <c r="A20" s="272">
        <v>11</v>
      </c>
      <c r="B20" s="262"/>
      <c r="C20" s="258"/>
      <c r="D20" s="163"/>
      <c r="E20" s="31" t="str">
        <f>IF(B20=0,"",IF(C20&gt;9999,"",ROUND('General Variables'!$B$4*VLOOKUP(B20,Operations[],10,FALSE)/VLOOKUP(B20,Operations[],9,FALSE)*C20,2)))</f>
        <v/>
      </c>
      <c r="F20" s="31">
        <f>IF(B20=0,0,IF(C20&gt;9999,"",ROUND(IF(VLOOKUP(B20,Operations[],12,FALSE)=0,VLOOKUP(B20,Operations[],13,FALSE)*'General Variables'!$B$8,VLOOKUP(B20,Operations[],12,FALSE)*'General Variables'!$B$7)/VLOOKUP(B20,Operations[],9,FALSE)*C20,2)))</f>
        <v>0</v>
      </c>
      <c r="G20" s="31">
        <f>IF(B20=0,0,IF(C20&gt;9999,"",ROUND(VLOOKUP(VLOOKUP(B20,Operations[],11,FALSE),PowerUnits[],10,FALSE)/VLOOKUP(B20,Operations[],9,FALSE)*C20,2)))</f>
        <v>0</v>
      </c>
      <c r="H20" s="31" t="str">
        <f>IF(B20=0,"",IF(C20&gt;9999,"",ROUND(VLOOKUP($B20,Operations[],15,FALSE)*C20,2)))</f>
        <v/>
      </c>
      <c r="I20" s="31">
        <f>IF(B20=0,0,IF(C20&gt;9999,"",ROUND(VLOOKUP(VLOOKUP(B20,Operations[],11,FALSE),PowerUnits[],16,FALSE)/VLOOKUP(B20,Operations[],9,FALSE)*C20,2)))</f>
        <v>0</v>
      </c>
      <c r="J20" s="31" t="str">
        <f>IF(B20=0,"",IF(C20&gt;9999,"",ROUND(VLOOKUP($B20,Operations[],21,FALSE)*$C20,2)))</f>
        <v/>
      </c>
      <c r="K20" s="31">
        <f t="shared" si="0"/>
        <v>0</v>
      </c>
      <c r="L20" s="34"/>
    </row>
    <row r="21" spans="1:12" hidden="1" x14ac:dyDescent="0.2">
      <c r="A21" s="272">
        <v>12</v>
      </c>
      <c r="B21" s="262"/>
      <c r="C21" s="258"/>
      <c r="D21" s="163"/>
      <c r="E21" s="31" t="str">
        <f>IF(B21=0,"",IF(C21&gt;9999,"",ROUND('General Variables'!$B$4*VLOOKUP(B21,Operations[],10,FALSE)/VLOOKUP(B21,Operations[],9,FALSE)*C21,2)))</f>
        <v/>
      </c>
      <c r="F21" s="31">
        <f>IF(B21=0,0,IF(C21&gt;9999,"",ROUND(IF(VLOOKUP(B21,Operations[],12,FALSE)=0,VLOOKUP(B21,Operations[],13,FALSE)*'General Variables'!$B$8,VLOOKUP(B21,Operations[],12,FALSE)*'General Variables'!$B$7)/VLOOKUP(B21,Operations[],9,FALSE)*C21,2)))</f>
        <v>0</v>
      </c>
      <c r="G21" s="31">
        <f>IF(B21=0,0,IF(C21&gt;9999,"",ROUND(VLOOKUP(VLOOKUP(B21,Operations[],11,FALSE),PowerUnits[],10,FALSE)/VLOOKUP(B21,Operations[],9,FALSE)*C21,2)))</f>
        <v>0</v>
      </c>
      <c r="H21" s="31" t="str">
        <f>IF(B21=0,"",IF(C21&gt;9999,"",ROUND(VLOOKUP($B21,Operations[],15,FALSE)*C21,2)))</f>
        <v/>
      </c>
      <c r="I21" s="31">
        <f>IF(B21=0,0,IF(C21&gt;9999,"",ROUND(VLOOKUP(VLOOKUP(B21,Operations[],11,FALSE),PowerUnits[],16,FALSE)/VLOOKUP(B21,Operations[],9,FALSE)*C21,2)))</f>
        <v>0</v>
      </c>
      <c r="J21" s="31" t="str">
        <f>IF(B21=0,"",IF(C21&gt;9999,"",ROUND(VLOOKUP($B21,Operations[],21,FALSE)*$C21,2)))</f>
        <v/>
      </c>
      <c r="K21" s="31">
        <f t="shared" si="0"/>
        <v>0</v>
      </c>
      <c r="L21" s="34"/>
    </row>
    <row r="22" spans="1:12" hidden="1" x14ac:dyDescent="0.2">
      <c r="A22" s="272">
        <v>13</v>
      </c>
      <c r="B22" s="262"/>
      <c r="C22" s="258"/>
      <c r="D22" s="163"/>
      <c r="E22" s="31" t="str">
        <f>IF(B22=0,"",IF(C22&gt;9999,"",ROUND('General Variables'!$B$4*VLOOKUP(B22,Operations[],10,FALSE)/VLOOKUP(B22,Operations[],9,FALSE)*C22,2)))</f>
        <v/>
      </c>
      <c r="F22" s="31">
        <f>IF(B22=0,0,IF(C22&gt;9999,"",ROUND(IF(VLOOKUP(B22,Operations[],12,FALSE)=0,VLOOKUP(B22,Operations[],13,FALSE)*'General Variables'!$B$8,VLOOKUP(B22,Operations[],12,FALSE)*'General Variables'!$B$7)/VLOOKUP(B22,Operations[],9,FALSE)*C22,2)))</f>
        <v>0</v>
      </c>
      <c r="G22" s="31">
        <f>IF(B22=0,0,IF(C22&gt;9999,"",ROUND(VLOOKUP(VLOOKUP(B22,Operations[],11,FALSE),PowerUnits[],10,FALSE)/VLOOKUP(B22,Operations[],9,FALSE)*C22,2)))</f>
        <v>0</v>
      </c>
      <c r="H22" s="31" t="str">
        <f>IF(B22=0,"",IF(C22&gt;9999,"",ROUND(VLOOKUP($B22,Operations[],15,FALSE)*C22,2)))</f>
        <v/>
      </c>
      <c r="I22" s="31">
        <f>IF(B22=0,0,IF(C22&gt;9999,"",ROUND(VLOOKUP(VLOOKUP(B22,Operations[],11,FALSE),PowerUnits[],16,FALSE)/VLOOKUP(B22,Operations[],9,FALSE)*C22,2)))</f>
        <v>0</v>
      </c>
      <c r="J22" s="31" t="str">
        <f>IF(B22=0,"",IF(C22&gt;9999,"",ROUND(VLOOKUP($B22,Operations[],21,FALSE)*$C22,2)))</f>
        <v/>
      </c>
      <c r="K22" s="31">
        <f t="shared" si="0"/>
        <v>0</v>
      </c>
      <c r="L22" s="34"/>
    </row>
    <row r="23" spans="1:12" hidden="1" x14ac:dyDescent="0.2">
      <c r="A23" s="272">
        <v>14</v>
      </c>
      <c r="B23" s="262"/>
      <c r="C23" s="258"/>
      <c r="D23" s="163"/>
      <c r="E23" s="31" t="str">
        <f>IF(B23=0,"",IF(C23&gt;9999,"",ROUND('General Variables'!$B$4*VLOOKUP(B23,Operations[],10,FALSE)/VLOOKUP(B23,Operations[],9,FALSE)*C23,2)))</f>
        <v/>
      </c>
      <c r="F23" s="31">
        <f>IF(B23=0,0,IF(C23&gt;9999,"",ROUND(IF(VLOOKUP(B23,Operations[],12,FALSE)=0,VLOOKUP(B23,Operations[],13,FALSE)*'General Variables'!$B$8,VLOOKUP(B23,Operations[],12,FALSE)*'General Variables'!$B$7)/VLOOKUP(B23,Operations[],9,FALSE)*C23,2)))</f>
        <v>0</v>
      </c>
      <c r="G23" s="31">
        <f>IF(B23=0,0,IF(C23&gt;9999,"",ROUND(VLOOKUP(VLOOKUP(B23,Operations[],11,FALSE),PowerUnits[],10,FALSE)/VLOOKUP(B23,Operations[],9,FALSE)*C23,2)))</f>
        <v>0</v>
      </c>
      <c r="H23" s="31" t="str">
        <f>IF(B23=0,"",IF(C23&gt;9999,"",ROUND(VLOOKUP($B23,Operations[],15,FALSE)*C23,2)))</f>
        <v/>
      </c>
      <c r="I23" s="31">
        <f>IF(B23=0,0,IF(C23&gt;9999,"",ROUND(VLOOKUP(VLOOKUP(B23,Operations[],11,FALSE),PowerUnits[],16,FALSE)/VLOOKUP(B23,Operations[],9,FALSE)*C23,2)))</f>
        <v>0</v>
      </c>
      <c r="J23" s="31" t="str">
        <f>IF(B23=0,"",IF(C23&gt;9999,"",ROUND(VLOOKUP($B23,Operations[],21,FALSE)*$C23,2)))</f>
        <v/>
      </c>
      <c r="K23" s="31">
        <f t="shared" si="0"/>
        <v>0</v>
      </c>
      <c r="L23" s="34"/>
    </row>
    <row r="24" spans="1:12" hidden="1" x14ac:dyDescent="0.2">
      <c r="A24" s="272">
        <v>15</v>
      </c>
      <c r="B24" s="262"/>
      <c r="C24" s="258"/>
      <c r="D24" s="163"/>
      <c r="E24" s="31" t="str">
        <f>IF(B24=0,"",IF(C24&gt;9999,"",ROUND('General Variables'!$B$4*VLOOKUP(B24,Operations[],10,FALSE)/VLOOKUP(B24,Operations[],9,FALSE)*C24,2)))</f>
        <v/>
      </c>
      <c r="F24" s="31">
        <f>IF(B24=0,0,IF(C24&gt;9999,"",ROUND(IF(VLOOKUP(B24,Operations[],12,FALSE)=0,VLOOKUP(B24,Operations[],13,FALSE)*'General Variables'!$B$8,VLOOKUP(B24,Operations[],12,FALSE)*'General Variables'!$B$7)/VLOOKUP(B24,Operations[],9,FALSE)*C24,2)))</f>
        <v>0</v>
      </c>
      <c r="G24" s="31">
        <f>IF(B24=0,0,IF(C24&gt;9999,"",ROUND(VLOOKUP(VLOOKUP(B24,Operations[],11,FALSE),PowerUnits[],10,FALSE)/VLOOKUP(B24,Operations[],9,FALSE)*C24,2)))</f>
        <v>0</v>
      </c>
      <c r="H24" s="31" t="str">
        <f>IF(B24=0,"",IF(C24&gt;9999,"",ROUND(VLOOKUP($B24,Operations[],15,FALSE)*C24,2)))</f>
        <v/>
      </c>
      <c r="I24" s="31">
        <f>IF(B24=0,0,IF(C24&gt;9999,"",ROUND(VLOOKUP(VLOOKUP(B24,Operations[],11,FALSE),PowerUnits[],16,FALSE)/VLOOKUP(B24,Operations[],9,FALSE)*C24,2)))</f>
        <v>0</v>
      </c>
      <c r="J24" s="31" t="str">
        <f>IF(B24=0,"",IF(C24&gt;9999,"",ROUND(VLOOKUP($B24,Operations[],21,FALSE)*$C24,2)))</f>
        <v/>
      </c>
      <c r="K24" s="31">
        <f t="shared" si="0"/>
        <v>0</v>
      </c>
      <c r="L24" s="34"/>
    </row>
    <row r="25" spans="1:12" hidden="1" x14ac:dyDescent="0.2">
      <c r="A25" s="272">
        <v>16</v>
      </c>
      <c r="B25" s="262"/>
      <c r="C25" s="258"/>
      <c r="D25" s="163"/>
      <c r="E25" s="31" t="str">
        <f>IF(B25=0,"",IF(C25&gt;9999,"",ROUND('General Variables'!$B$4*VLOOKUP(B25,Operations[],10,FALSE)/VLOOKUP(B25,Operations[],9,FALSE)*C25,2)))</f>
        <v/>
      </c>
      <c r="F25" s="31">
        <f>IF(B25=0,0,IF(C25&gt;9999,"",ROUND(IF(VLOOKUP(B25,Operations[],12,FALSE)=0,VLOOKUP(B25,Operations[],13,FALSE)*'General Variables'!$B$8,VLOOKUP(B25,Operations[],12,FALSE)*'General Variables'!$B$7)/VLOOKUP(B25,Operations[],9,FALSE)*C25,2)))</f>
        <v>0</v>
      </c>
      <c r="G25" s="31">
        <f>IF(B25=0,0,IF(C25&gt;9999,"",ROUND(VLOOKUP(VLOOKUP(B25,Operations[],11,FALSE),PowerUnits[],10,FALSE)/VLOOKUP(B25,Operations[],9,FALSE)*C25,2)))</f>
        <v>0</v>
      </c>
      <c r="H25" s="31" t="str">
        <f>IF(B25=0,"",IF(C25&gt;9999,"",ROUND(VLOOKUP($B25,Operations[],15,FALSE)*C25,2)))</f>
        <v/>
      </c>
      <c r="I25" s="31">
        <f>IF(B25=0,0,IF(C25&gt;9999,"",ROUND(VLOOKUP(VLOOKUP(B25,Operations[],11,FALSE),PowerUnits[],16,FALSE)/VLOOKUP(B25,Operations[],9,FALSE)*C25,2)))</f>
        <v>0</v>
      </c>
      <c r="J25" s="31" t="str">
        <f>IF(B25=0,"",IF(C25&gt;9999,"",ROUND(VLOOKUP($B25,Operations[],21,FALSE)*$C25,2)))</f>
        <v/>
      </c>
      <c r="K25" s="31">
        <f t="shared" si="0"/>
        <v>0</v>
      </c>
      <c r="L25" s="34"/>
    </row>
    <row r="26" spans="1:12" hidden="1" x14ac:dyDescent="0.2">
      <c r="A26" s="272">
        <v>17</v>
      </c>
      <c r="B26" s="262"/>
      <c r="C26" s="258"/>
      <c r="D26" s="163"/>
      <c r="E26" s="31" t="str">
        <f>IF(B26=0,"",IF(C26&gt;9999,"",ROUND('General Variables'!$B$4*VLOOKUP(B26,Operations[],10,FALSE)/VLOOKUP(B26,Operations[],9,FALSE)*C26,2)))</f>
        <v/>
      </c>
      <c r="F26" s="31">
        <f>IF(B26=0,0,IF(C26&gt;9999,"",ROUND(IF(VLOOKUP(B26,Operations[],12,FALSE)=0,VLOOKUP(B26,Operations[],13,FALSE)*'General Variables'!$B$8,VLOOKUP(B26,Operations[],12,FALSE)*'General Variables'!$B$7)/VLOOKUP(B26,Operations[],9,FALSE)*C26,2)))</f>
        <v>0</v>
      </c>
      <c r="G26" s="31">
        <f>IF(B26=0,0,IF(C26&gt;9999,"",ROUND(VLOOKUP(VLOOKUP(B26,Operations[],11,FALSE),PowerUnits[],10,FALSE)/VLOOKUP(B26,Operations[],9,FALSE)*C26,2)))</f>
        <v>0</v>
      </c>
      <c r="H26" s="31" t="str">
        <f>IF(B26=0,"",IF(C26&gt;9999,"",ROUND(VLOOKUP($B26,Operations[],15,FALSE)*C26,2)))</f>
        <v/>
      </c>
      <c r="I26" s="31">
        <f>IF(B26=0,0,IF(C26&gt;9999,"",ROUND(VLOOKUP(VLOOKUP(B26,Operations[],11,FALSE),PowerUnits[],16,FALSE)/VLOOKUP(B26,Operations[],9,FALSE)*C26,2)))</f>
        <v>0</v>
      </c>
      <c r="J26" s="31" t="str">
        <f>IF(B26=0,"",IF(C26&gt;9999,"",ROUND(VLOOKUP($B26,Operations[],21,FALSE)*$C26,2)))</f>
        <v/>
      </c>
      <c r="K26" s="31">
        <f t="shared" si="0"/>
        <v>0</v>
      </c>
      <c r="L26" s="34"/>
    </row>
    <row r="27" spans="1:12" hidden="1" x14ac:dyDescent="0.2">
      <c r="A27" s="272">
        <v>18</v>
      </c>
      <c r="B27" s="262"/>
      <c r="C27" s="258"/>
      <c r="D27" s="163"/>
      <c r="E27" s="31" t="str">
        <f>IF(B27=0,"",IF(C27&gt;9999,"",ROUND('General Variables'!$B$4*VLOOKUP(B27,Operations[],10,FALSE)/VLOOKUP(B27,Operations[],9,FALSE)*C27,2)))</f>
        <v/>
      </c>
      <c r="F27" s="31">
        <f>IF(B27=0,0,IF(C27&gt;9999,"",ROUND(IF(VLOOKUP(B27,Operations[],12,FALSE)=0,VLOOKUP(B27,Operations[],13,FALSE)*'General Variables'!$B$8,VLOOKUP(B27,Operations[],12,FALSE)*'General Variables'!$B$7)/VLOOKUP(B27,Operations[],9,FALSE)*C27,2)))</f>
        <v>0</v>
      </c>
      <c r="G27" s="31">
        <f>IF(B27=0,0,IF(C27&gt;9999,"",ROUND(VLOOKUP(VLOOKUP(B27,Operations[],11,FALSE),PowerUnits[],10,FALSE)/VLOOKUP(B27,Operations[],9,FALSE)*C27,2)))</f>
        <v>0</v>
      </c>
      <c r="H27" s="31" t="str">
        <f>IF(B27=0,"",IF(C27&gt;9999,"",ROUND(VLOOKUP($B27,Operations[],15,FALSE)*C27,2)))</f>
        <v/>
      </c>
      <c r="I27" s="31">
        <f>IF(B27=0,0,IF(C27&gt;9999,"",ROUND(VLOOKUP(VLOOKUP(B27,Operations[],11,FALSE),PowerUnits[],16,FALSE)/VLOOKUP(B27,Operations[],9,FALSE)*C27,2)))</f>
        <v>0</v>
      </c>
      <c r="J27" s="31" t="str">
        <f>IF(B27=0,"",IF(C27&gt;9999,"",ROUND(VLOOKUP($B27,Operations[],21,FALSE)*$C27,2)))</f>
        <v/>
      </c>
      <c r="K27" s="31">
        <f t="shared" si="0"/>
        <v>0</v>
      </c>
      <c r="L27" s="34"/>
    </row>
    <row r="28" spans="1:12" hidden="1" x14ac:dyDescent="0.2">
      <c r="A28" s="272">
        <v>19</v>
      </c>
      <c r="B28" s="262"/>
      <c r="C28" s="258"/>
      <c r="D28" s="163"/>
      <c r="E28" s="31" t="str">
        <f>IF(B28=0,"",IF(C28&gt;9999,"",ROUND('General Variables'!$B$4*VLOOKUP(B28,Operations[],10,FALSE)/VLOOKUP(B28,Operations[],9,FALSE)*C28,2)))</f>
        <v/>
      </c>
      <c r="F28" s="31">
        <f>IF(B28=0,0,IF(C28&gt;9999,"",ROUND(IF(VLOOKUP(B28,Operations[],12,FALSE)=0,VLOOKUP(B28,Operations[],13,FALSE)*'General Variables'!$B$8,VLOOKUP(B28,Operations[],12,FALSE)*'General Variables'!$B$7)/VLOOKUP(B28,Operations[],9,FALSE)*C28,2)))</f>
        <v>0</v>
      </c>
      <c r="G28" s="31">
        <f>IF(B28=0,0,IF(C28&gt;9999,"",ROUND(VLOOKUP(VLOOKUP(B28,Operations[],11,FALSE),PowerUnits[],10,FALSE)/VLOOKUP(B28,Operations[],9,FALSE)*C28,2)))</f>
        <v>0</v>
      </c>
      <c r="H28" s="31" t="str">
        <f>IF(B28=0,"",IF(C28&gt;9999,"",ROUND(VLOOKUP($B28,Operations[],15,FALSE)*C28,2)))</f>
        <v/>
      </c>
      <c r="I28" s="31">
        <f>IF(B28=0,0,IF(C28&gt;9999,"",ROUND(VLOOKUP(VLOOKUP(B28,Operations[],11,FALSE),PowerUnits[],16,FALSE)/VLOOKUP(B28,Operations[],9,FALSE)*C28,2)))</f>
        <v>0</v>
      </c>
      <c r="J28" s="31" t="str">
        <f>IF(B28=0,"",IF(C28&gt;9999,"",ROUND(VLOOKUP($B28,Operations[],21,FALSE)*$C28,2)))</f>
        <v/>
      </c>
      <c r="K28" s="31">
        <f t="shared" si="0"/>
        <v>0</v>
      </c>
      <c r="L28" s="35"/>
    </row>
    <row r="29" spans="1:12" hidden="1" x14ac:dyDescent="0.2">
      <c r="A29" s="272">
        <v>20</v>
      </c>
      <c r="B29" s="262"/>
      <c r="C29" s="258"/>
      <c r="D29" s="163"/>
      <c r="E29" s="31" t="str">
        <f>IF(B29=0,"",IF(C29&gt;9999,"",ROUND('General Variables'!$B$4*VLOOKUP(B29,Operations[],10,FALSE)/VLOOKUP(B29,Operations[],9,FALSE)*C29,2)))</f>
        <v/>
      </c>
      <c r="F29" s="31">
        <f>IF(B29=0,0,IF(C29&gt;9999,"",ROUND(IF(VLOOKUP(B29,Operations[],12,FALSE)=0,VLOOKUP(B29,Operations[],13,FALSE)*'General Variables'!$B$8,VLOOKUP(B29,Operations[],12,FALSE)*'General Variables'!$B$7)/VLOOKUP(B29,Operations[],9,FALSE)*C29,2)))</f>
        <v>0</v>
      </c>
      <c r="G29" s="31">
        <f>IF(B29=0,0,IF(C29&gt;9999,"",ROUND(VLOOKUP(VLOOKUP(B29,Operations[],11,FALSE),PowerUnits[],10,FALSE)/VLOOKUP(B29,Operations[],9,FALSE)*C29,2)))</f>
        <v>0</v>
      </c>
      <c r="H29" s="31" t="str">
        <f>IF(B29=0,"",IF(C29&gt;9999,"",ROUND(VLOOKUP($B29,Operations[],15,FALSE)*C29,2)))</f>
        <v/>
      </c>
      <c r="I29" s="31">
        <f>IF(B29=0,0,IF(C29&gt;9999,"",ROUND(VLOOKUP(VLOOKUP(B29,Operations[],11,FALSE),PowerUnits[],16,FALSE)/VLOOKUP(B29,Operations[],9,FALSE)*C29,2)))</f>
        <v>0</v>
      </c>
      <c r="J29" s="31" t="str">
        <f>IF(B29=0,"",IF(C29&gt;9999,"",ROUND(VLOOKUP($B29,Operations[],21,FALSE)*$C29,2)))</f>
        <v/>
      </c>
      <c r="K29" s="31">
        <f t="shared" si="0"/>
        <v>0</v>
      </c>
      <c r="L29" s="248"/>
    </row>
    <row r="30" spans="1:12" ht="3" customHeight="1" thickBot="1" x14ac:dyDescent="0.25">
      <c r="A30" s="272"/>
      <c r="B30" s="36"/>
      <c r="C30" s="37"/>
      <c r="D30" s="37"/>
      <c r="E30" s="33"/>
      <c r="F30" s="33"/>
      <c r="G30" s="33"/>
      <c r="H30" s="33"/>
      <c r="I30" s="33"/>
      <c r="J30" s="33"/>
      <c r="K30" s="33"/>
      <c r="L30" s="38"/>
    </row>
    <row r="31" spans="1:12" ht="13.5" thickTop="1" x14ac:dyDescent="0.2">
      <c r="C31" s="39" t="s">
        <v>83</v>
      </c>
      <c r="D31" s="39"/>
      <c r="E31" s="30">
        <f>SUM(E10:E29)</f>
        <v>36.089999999999996</v>
      </c>
      <c r="F31" s="30">
        <f t="shared" ref="F31:K31" si="1">SUM(F10:F29)</f>
        <v>24.75</v>
      </c>
      <c r="G31" s="30">
        <f t="shared" si="1"/>
        <v>15.72</v>
      </c>
      <c r="H31" s="30">
        <f t="shared" si="1"/>
        <v>18.470000000000002</v>
      </c>
      <c r="I31" s="30">
        <f t="shared" si="1"/>
        <v>47.69</v>
      </c>
      <c r="J31" s="30">
        <f t="shared" si="1"/>
        <v>11.92</v>
      </c>
      <c r="K31" s="30">
        <f t="shared" si="1"/>
        <v>154.64000000000001</v>
      </c>
      <c r="L31" s="34"/>
    </row>
    <row r="33" spans="2:12" ht="24" customHeight="1" thickBot="1" x14ac:dyDescent="0.25">
      <c r="B33" s="248"/>
      <c r="C33" s="248"/>
      <c r="D33" s="248"/>
      <c r="E33" s="248"/>
      <c r="F33" s="321" t="s">
        <v>97</v>
      </c>
      <c r="G33" s="321" t="s">
        <v>94</v>
      </c>
      <c r="H33" s="322" t="s">
        <v>98</v>
      </c>
      <c r="I33" s="322"/>
      <c r="J33" s="321" t="s">
        <v>69</v>
      </c>
      <c r="L33" s="322" t="s">
        <v>400</v>
      </c>
    </row>
    <row r="34" spans="2:12" s="40" customFormat="1" ht="14.25" thickTop="1" thickBot="1" x14ac:dyDescent="0.25">
      <c r="B34" s="41" t="s">
        <v>93</v>
      </c>
      <c r="C34" s="270"/>
      <c r="D34" s="270"/>
      <c r="E34" s="270"/>
      <c r="F34" s="321"/>
      <c r="G34" s="321"/>
      <c r="H34" s="270" t="s">
        <v>99</v>
      </c>
      <c r="I34" s="270" t="s">
        <v>77</v>
      </c>
      <c r="J34" s="321"/>
      <c r="K34" s="270" t="s">
        <v>95</v>
      </c>
      <c r="L34" s="321"/>
    </row>
    <row r="35" spans="2:12" ht="13.5" thickTop="1" x14ac:dyDescent="0.2">
      <c r="B35" s="261" t="s">
        <v>9</v>
      </c>
      <c r="C35" s="308" t="str">
        <f>IF(B35=0,"",VLOOKUP($B35,Materials[],2,FALSE))</f>
        <v>Fertilizer</v>
      </c>
      <c r="D35" s="308"/>
      <c r="E35" s="308"/>
      <c r="F35" s="257">
        <v>1</v>
      </c>
      <c r="G35" s="259">
        <v>1</v>
      </c>
      <c r="H35" s="278">
        <v>100</v>
      </c>
      <c r="I35" s="42" t="str">
        <f>IF($B35=0,"",VLOOKUP($B35,Materials[],5,FALSE))</f>
        <v>pound</v>
      </c>
      <c r="J35" s="43">
        <f>IF($B35=0,"",VLOOKUP($B35,Materials[],7,FALSE))</f>
        <v>0.3</v>
      </c>
      <c r="K35" s="30">
        <f>IF(B35=0,0,ROUND(G35*H35*J35,2))</f>
        <v>30</v>
      </c>
      <c r="L35" s="34"/>
    </row>
    <row r="36" spans="2:12" x14ac:dyDescent="0.2">
      <c r="B36" s="261" t="s">
        <v>51</v>
      </c>
      <c r="C36" s="308" t="str">
        <f>IF(B36=0,"",VLOOKUP($B36,Materials[],2,FALSE))</f>
        <v>Rental</v>
      </c>
      <c r="D36" s="308"/>
      <c r="E36" s="308"/>
      <c r="F36" s="257">
        <v>4</v>
      </c>
      <c r="G36" s="259">
        <v>1</v>
      </c>
      <c r="H36" s="278">
        <v>1</v>
      </c>
      <c r="I36" s="42" t="str">
        <f>IF($B36=0,"",VLOOKUP($B36,Materials[],5,FALSE))</f>
        <v>acre</v>
      </c>
      <c r="J36" s="43">
        <f>IF($B36=0,"",VLOOKUP($B36,Materials[],7,FALSE))</f>
        <v>13</v>
      </c>
      <c r="K36" s="30">
        <f t="shared" ref="K36:K59" si="2">IF(B36=0,0,ROUND(G36*H36*J36,2))</f>
        <v>13</v>
      </c>
      <c r="L36" s="34"/>
    </row>
    <row r="37" spans="2:12" x14ac:dyDescent="0.2">
      <c r="B37" s="261" t="s">
        <v>531</v>
      </c>
      <c r="C37" s="308" t="str">
        <f>IF(B37=0,"",VLOOKUP($B37,Materials[],2,FALSE))</f>
        <v>Seed</v>
      </c>
      <c r="D37" s="308"/>
      <c r="E37" s="308"/>
      <c r="F37" s="257">
        <v>4</v>
      </c>
      <c r="G37" s="259">
        <v>1</v>
      </c>
      <c r="H37" s="278">
        <v>12</v>
      </c>
      <c r="I37" s="42" t="str">
        <f>IF($B37=0,"",VLOOKUP($B37,Materials[],5,FALSE))</f>
        <v>pound</v>
      </c>
      <c r="J37" s="43">
        <f>IF($B37=0,"",VLOOKUP($B37,Materials[],7,FALSE))</f>
        <v>9</v>
      </c>
      <c r="K37" s="30">
        <f t="shared" si="2"/>
        <v>108</v>
      </c>
      <c r="L37" s="34"/>
    </row>
    <row r="38" spans="2:12" x14ac:dyDescent="0.2">
      <c r="B38" s="261" t="s">
        <v>42</v>
      </c>
      <c r="C38" s="308" t="str">
        <f>IF(B38=0,"",VLOOKUP($B38,Materials[],2,FALSE))</f>
        <v>Insecticide</v>
      </c>
      <c r="D38" s="308"/>
      <c r="E38" s="308"/>
      <c r="F38" s="257">
        <v>5</v>
      </c>
      <c r="G38" s="259">
        <v>0.2</v>
      </c>
      <c r="H38" s="278">
        <v>1</v>
      </c>
      <c r="I38" s="42" t="str">
        <f>IF($B38=0,"",VLOOKUP($B38,Materials[],5,FALSE))</f>
        <v>pint</v>
      </c>
      <c r="J38" s="43">
        <f>IF($B38=0,"",VLOOKUP($B38,Materials[],7,FALSE))</f>
        <v>6.25</v>
      </c>
      <c r="K38" s="30">
        <f t="shared" si="2"/>
        <v>1.25</v>
      </c>
      <c r="L38" s="34"/>
    </row>
    <row r="39" spans="2:12" x14ac:dyDescent="0.2">
      <c r="B39" s="261" t="s">
        <v>532</v>
      </c>
      <c r="C39" s="308" t="str">
        <f>IF(B39=0,"",VLOOKUP($B39,Materials[],2,FALSE))</f>
        <v>Herbicide</v>
      </c>
      <c r="D39" s="308"/>
      <c r="E39" s="308"/>
      <c r="F39" s="257">
        <v>6</v>
      </c>
      <c r="G39" s="259">
        <v>1</v>
      </c>
      <c r="H39" s="278">
        <v>44</v>
      </c>
      <c r="I39" s="42" t="str">
        <f>IF($B39=0,"",VLOOKUP($B39,Materials[],5,FALSE))</f>
        <v>ounce</v>
      </c>
      <c r="J39" s="43">
        <f>IF($B39=0,"",VLOOKUP($B39,Materials[],7,FALSE))</f>
        <v>0.3125</v>
      </c>
      <c r="K39" s="30">
        <f t="shared" si="2"/>
        <v>13.75</v>
      </c>
      <c r="L39" s="34"/>
    </row>
    <row r="40" spans="2:12" x14ac:dyDescent="0.2">
      <c r="B40" s="261" t="s">
        <v>62</v>
      </c>
      <c r="C40" s="308" t="str">
        <f>IF(B40=0,"",VLOOKUP($B40,Materials[],2,FALSE))</f>
        <v>Other</v>
      </c>
      <c r="D40" s="308"/>
      <c r="E40" s="308"/>
      <c r="F40" s="257">
        <v>9</v>
      </c>
      <c r="G40" s="259">
        <v>1</v>
      </c>
      <c r="H40" s="282">
        <f>$A$4</f>
        <v>2.8</v>
      </c>
      <c r="I40" s="42" t="str">
        <f>IF($B40=0,"",VLOOKUP($B40,Materials[],5,FALSE))</f>
        <v>ton</v>
      </c>
      <c r="J40" s="43">
        <f>IF($B40=0,"",VLOOKUP($B40,Materials[],7,FALSE))</f>
        <v>2.2222222222222223</v>
      </c>
      <c r="K40" s="30">
        <f t="shared" si="2"/>
        <v>6.22</v>
      </c>
      <c r="L40" s="34"/>
    </row>
    <row r="41" spans="2:12" hidden="1" x14ac:dyDescent="0.2">
      <c r="B41" s="261"/>
      <c r="C41" s="308" t="str">
        <f>IF(B41=0,"",VLOOKUP($B41,Materials[],2,FALSE))</f>
        <v/>
      </c>
      <c r="D41" s="308"/>
      <c r="E41" s="308"/>
      <c r="F41" s="257"/>
      <c r="G41" s="259"/>
      <c r="H41" s="278"/>
      <c r="I41" s="42" t="str">
        <f>IF($B41=0,"",VLOOKUP($B41,Materials[],5,FALSE))</f>
        <v/>
      </c>
      <c r="J41" s="43" t="str">
        <f>IF($B41=0,"",VLOOKUP($B41,Materials[],7,FALSE))</f>
        <v/>
      </c>
      <c r="K41" s="30">
        <f t="shared" si="2"/>
        <v>0</v>
      </c>
      <c r="L41" s="34"/>
    </row>
    <row r="42" spans="2:12" hidden="1" x14ac:dyDescent="0.2">
      <c r="B42" s="262"/>
      <c r="C42" s="308" t="str">
        <f>IF(B42=0,"",VLOOKUP($B42,Materials[],2,FALSE))</f>
        <v/>
      </c>
      <c r="D42" s="308"/>
      <c r="E42" s="308"/>
      <c r="F42" s="258"/>
      <c r="G42" s="241"/>
      <c r="H42" s="280"/>
      <c r="I42" s="42" t="str">
        <f>IF($B42=0,"",VLOOKUP($B42,Materials[],5,FALSE))</f>
        <v/>
      </c>
      <c r="J42" s="43" t="str">
        <f>IF($B42=0,"",VLOOKUP($B42,Materials[],7,FALSE))</f>
        <v/>
      </c>
      <c r="K42" s="30">
        <f t="shared" si="2"/>
        <v>0</v>
      </c>
      <c r="L42" s="34"/>
    </row>
    <row r="43" spans="2:12" hidden="1" x14ac:dyDescent="0.2">
      <c r="B43" s="262"/>
      <c r="C43" s="308" t="str">
        <f>IF(B43=0,"",VLOOKUP($B43,Materials[],2,FALSE))</f>
        <v/>
      </c>
      <c r="D43" s="308"/>
      <c r="E43" s="308"/>
      <c r="F43" s="258"/>
      <c r="G43" s="241"/>
      <c r="H43" s="280"/>
      <c r="I43" s="42" t="str">
        <f>IF($B43=0,"",VLOOKUP($B43,Materials[],5,FALSE))</f>
        <v/>
      </c>
      <c r="J43" s="43" t="str">
        <f>IF($B43=0,"",VLOOKUP($B43,Materials[],7,FALSE))</f>
        <v/>
      </c>
      <c r="K43" s="30">
        <f t="shared" si="2"/>
        <v>0</v>
      </c>
      <c r="L43" s="34"/>
    </row>
    <row r="44" spans="2:12" hidden="1" x14ac:dyDescent="0.2">
      <c r="B44" s="262"/>
      <c r="C44" s="308" t="str">
        <f>IF(B44=0,"",VLOOKUP($B44,Materials[],2,FALSE))</f>
        <v/>
      </c>
      <c r="D44" s="308"/>
      <c r="E44" s="308"/>
      <c r="F44" s="258"/>
      <c r="G44" s="241"/>
      <c r="H44" s="280"/>
      <c r="I44" s="42" t="str">
        <f>IF($B44=0,"",VLOOKUP($B44,Materials[],5,FALSE))</f>
        <v/>
      </c>
      <c r="J44" s="43" t="str">
        <f>IF($B44=0,"",VLOOKUP($B44,Materials[],7,FALSE))</f>
        <v/>
      </c>
      <c r="K44" s="30">
        <f t="shared" si="2"/>
        <v>0</v>
      </c>
      <c r="L44" s="34"/>
    </row>
    <row r="45" spans="2:12" hidden="1" x14ac:dyDescent="0.2">
      <c r="B45" s="262"/>
      <c r="C45" s="308" t="str">
        <f>IF(B45=0,"",VLOOKUP($B45,Materials[],2,FALSE))</f>
        <v/>
      </c>
      <c r="D45" s="308"/>
      <c r="E45" s="308"/>
      <c r="F45" s="258"/>
      <c r="G45" s="241"/>
      <c r="H45" s="280"/>
      <c r="I45" s="42" t="str">
        <f>IF($B45=0,"",VLOOKUP($B45,Materials[],5,FALSE))</f>
        <v/>
      </c>
      <c r="J45" s="43" t="str">
        <f>IF($B45=0,"",VLOOKUP($B45,Materials[],7,FALSE))</f>
        <v/>
      </c>
      <c r="K45" s="30">
        <f t="shared" si="2"/>
        <v>0</v>
      </c>
      <c r="L45" s="34"/>
    </row>
    <row r="46" spans="2:12" hidden="1" x14ac:dyDescent="0.2">
      <c r="B46" s="262"/>
      <c r="C46" s="308" t="str">
        <f>IF(B46=0,"",VLOOKUP($B46,Materials[],2,FALSE))</f>
        <v/>
      </c>
      <c r="D46" s="308"/>
      <c r="E46" s="308"/>
      <c r="F46" s="258"/>
      <c r="G46" s="241"/>
      <c r="H46" s="280"/>
      <c r="I46" s="42" t="str">
        <f>IF($B46=0,"",VLOOKUP($B46,Materials[],5,FALSE))</f>
        <v/>
      </c>
      <c r="J46" s="43" t="str">
        <f>IF($B46=0,"",VLOOKUP($B46,Materials[],7,FALSE))</f>
        <v/>
      </c>
      <c r="K46" s="30">
        <f t="shared" si="2"/>
        <v>0</v>
      </c>
      <c r="L46" s="34"/>
    </row>
    <row r="47" spans="2:12" hidden="1" x14ac:dyDescent="0.2">
      <c r="B47" s="262"/>
      <c r="C47" s="308" t="str">
        <f>IF(B47=0,"",VLOOKUP($B47,Materials[],2,FALSE))</f>
        <v/>
      </c>
      <c r="D47" s="308"/>
      <c r="E47" s="308"/>
      <c r="F47" s="258"/>
      <c r="G47" s="241"/>
      <c r="H47" s="280"/>
      <c r="I47" s="42" t="str">
        <f>IF($B47=0,"",VLOOKUP($B47,Materials[],5,FALSE))</f>
        <v/>
      </c>
      <c r="J47" s="43" t="str">
        <f>IF($B47=0,"",VLOOKUP($B47,Materials[],7,FALSE))</f>
        <v/>
      </c>
      <c r="K47" s="30">
        <f t="shared" si="2"/>
        <v>0</v>
      </c>
      <c r="L47" s="34"/>
    </row>
    <row r="48" spans="2:12" hidden="1" x14ac:dyDescent="0.2">
      <c r="B48" s="262"/>
      <c r="C48" s="308" t="str">
        <f>IF(B48=0,"",VLOOKUP($B48,Materials[],2,FALSE))</f>
        <v/>
      </c>
      <c r="D48" s="308"/>
      <c r="E48" s="308"/>
      <c r="F48" s="258"/>
      <c r="G48" s="241"/>
      <c r="H48" s="280"/>
      <c r="I48" s="42" t="str">
        <f>IF($B48=0,"",VLOOKUP($B48,Materials[],5,FALSE))</f>
        <v/>
      </c>
      <c r="J48" s="43" t="str">
        <f>IF($B48=0,"",VLOOKUP($B48,Materials[],7,FALSE))</f>
        <v/>
      </c>
      <c r="K48" s="30">
        <f t="shared" si="2"/>
        <v>0</v>
      </c>
      <c r="L48" s="34"/>
    </row>
    <row r="49" spans="2:12" hidden="1" x14ac:dyDescent="0.2">
      <c r="B49" s="262"/>
      <c r="C49" s="308" t="str">
        <f>IF(B49=0,"",VLOOKUP($B49,Materials[],2,FALSE))</f>
        <v/>
      </c>
      <c r="D49" s="308"/>
      <c r="E49" s="308"/>
      <c r="F49" s="258"/>
      <c r="G49" s="241"/>
      <c r="H49" s="280"/>
      <c r="I49" s="42" t="str">
        <f>IF($B49=0,"",VLOOKUP($B49,Materials[],5,FALSE))</f>
        <v/>
      </c>
      <c r="J49" s="43" t="str">
        <f>IF($B49=0,"",VLOOKUP($B49,Materials[],7,FALSE))</f>
        <v/>
      </c>
      <c r="K49" s="30">
        <f t="shared" si="2"/>
        <v>0</v>
      </c>
      <c r="L49" s="34"/>
    </row>
    <row r="50" spans="2:12" hidden="1" x14ac:dyDescent="0.2">
      <c r="B50" s="262"/>
      <c r="C50" s="308" t="str">
        <f>IF(B50=0,"",VLOOKUP($B50,Materials[],2,FALSE))</f>
        <v/>
      </c>
      <c r="D50" s="308"/>
      <c r="E50" s="308"/>
      <c r="F50" s="258"/>
      <c r="G50" s="241"/>
      <c r="H50" s="280"/>
      <c r="I50" s="42" t="str">
        <f>IF($B50=0,"",VLOOKUP($B50,Materials[],5,FALSE))</f>
        <v/>
      </c>
      <c r="J50" s="43" t="str">
        <f>IF($B50=0,"",VLOOKUP($B50,Materials[],7,FALSE))</f>
        <v/>
      </c>
      <c r="K50" s="30">
        <f t="shared" si="2"/>
        <v>0</v>
      </c>
      <c r="L50" s="34"/>
    </row>
    <row r="51" spans="2:12" hidden="1" x14ac:dyDescent="0.2">
      <c r="B51" s="262"/>
      <c r="C51" s="308" t="str">
        <f>IF(B51=0,"",VLOOKUP($B51,Materials[],2,FALSE))</f>
        <v/>
      </c>
      <c r="D51" s="308"/>
      <c r="E51" s="308"/>
      <c r="F51" s="258"/>
      <c r="G51" s="241"/>
      <c r="H51" s="280"/>
      <c r="I51" s="42" t="str">
        <f>IF($B51=0,"",VLOOKUP($B51,Materials[],5,FALSE))</f>
        <v/>
      </c>
      <c r="J51" s="43" t="str">
        <f>IF($B51=0,"",VLOOKUP($B51,Materials[],7,FALSE))</f>
        <v/>
      </c>
      <c r="K51" s="30">
        <f t="shared" si="2"/>
        <v>0</v>
      </c>
      <c r="L51" s="34"/>
    </row>
    <row r="52" spans="2:12" hidden="1" x14ac:dyDescent="0.2">
      <c r="B52" s="262"/>
      <c r="C52" s="308" t="str">
        <f>IF(B52=0,"",VLOOKUP($B52,Materials[],2,FALSE))</f>
        <v/>
      </c>
      <c r="D52" s="308"/>
      <c r="E52" s="308"/>
      <c r="F52" s="258"/>
      <c r="G52" s="241"/>
      <c r="H52" s="280"/>
      <c r="I52" s="42" t="str">
        <f>IF($B52=0,"",VLOOKUP($B52,Materials[],5,FALSE))</f>
        <v/>
      </c>
      <c r="J52" s="43" t="str">
        <f>IF($B52=0,"",VLOOKUP($B52,Materials[],7,FALSE))</f>
        <v/>
      </c>
      <c r="K52" s="30">
        <f t="shared" si="2"/>
        <v>0</v>
      </c>
      <c r="L52" s="34"/>
    </row>
    <row r="53" spans="2:12" hidden="1" x14ac:dyDescent="0.2">
      <c r="B53" s="262"/>
      <c r="C53" s="308" t="str">
        <f>IF(B53=0,"",VLOOKUP($B53,Materials[],2,FALSE))</f>
        <v/>
      </c>
      <c r="D53" s="308"/>
      <c r="E53" s="308"/>
      <c r="F53" s="258"/>
      <c r="G53" s="241"/>
      <c r="H53" s="280"/>
      <c r="I53" s="42" t="str">
        <f>IF($B53=0,"",VLOOKUP($B53,Materials[],5,FALSE))</f>
        <v/>
      </c>
      <c r="J53" s="43" t="str">
        <f>IF($B53=0,"",VLOOKUP($B53,Materials[],7,FALSE))</f>
        <v/>
      </c>
      <c r="K53" s="30">
        <f t="shared" si="2"/>
        <v>0</v>
      </c>
      <c r="L53" s="35"/>
    </row>
    <row r="54" spans="2:12" hidden="1" x14ac:dyDescent="0.2">
      <c r="B54" s="262"/>
      <c r="C54" s="308" t="str">
        <f>IF(B54=0,"",VLOOKUP($B54,Materials[],2,FALSE))</f>
        <v/>
      </c>
      <c r="D54" s="308"/>
      <c r="E54" s="308"/>
      <c r="F54" s="258"/>
      <c r="G54" s="241"/>
      <c r="H54" s="280"/>
      <c r="I54" s="42" t="str">
        <f>IF($B54=0,"",VLOOKUP($B54,Materials[],5,FALSE))</f>
        <v/>
      </c>
      <c r="J54" s="43" t="str">
        <f>IF($B54=0,"",VLOOKUP($B54,Materials[],7,FALSE))</f>
        <v/>
      </c>
      <c r="K54" s="30">
        <f>IF(B54=0,0,ROUND(G54*H54*J54,2))</f>
        <v>0</v>
      </c>
      <c r="L54" s="35"/>
    </row>
    <row r="55" spans="2:12" hidden="1" x14ac:dyDescent="0.2">
      <c r="B55" s="262"/>
      <c r="C55" s="308" t="str">
        <f>IF(B55=0,"",VLOOKUP($B55,Materials[],2,FALSE))</f>
        <v/>
      </c>
      <c r="D55" s="308"/>
      <c r="E55" s="308"/>
      <c r="F55" s="258"/>
      <c r="G55" s="241"/>
      <c r="H55" s="280"/>
      <c r="I55" s="42" t="str">
        <f>IF($B55=0,"",VLOOKUP($B55,Materials[],5,FALSE))</f>
        <v/>
      </c>
      <c r="J55" s="43" t="str">
        <f>IF($B55=0,"",VLOOKUP($B55,Materials[],7,FALSE))</f>
        <v/>
      </c>
      <c r="K55" s="30">
        <f>IF(B55=0,0,ROUND(G55*H55*J55,2))</f>
        <v>0</v>
      </c>
      <c r="L55" s="35"/>
    </row>
    <row r="56" spans="2:12" hidden="1" x14ac:dyDescent="0.2">
      <c r="B56" s="262"/>
      <c r="C56" s="308" t="str">
        <f>IF(B56=0,"",VLOOKUP($B56,Materials[],2,FALSE))</f>
        <v/>
      </c>
      <c r="D56" s="308"/>
      <c r="E56" s="308"/>
      <c r="F56" s="258"/>
      <c r="G56" s="241"/>
      <c r="H56" s="280"/>
      <c r="I56" s="42" t="str">
        <f>IF($B56=0,"",VLOOKUP($B56,Materials[],5,FALSE))</f>
        <v/>
      </c>
      <c r="J56" s="43" t="str">
        <f>IF($B56=0,"",VLOOKUP($B56,Materials[],7,FALSE))</f>
        <v/>
      </c>
      <c r="K56" s="30">
        <f>IF(B56=0,0,ROUND(G56*H56*J56,2))</f>
        <v>0</v>
      </c>
      <c r="L56" s="35"/>
    </row>
    <row r="57" spans="2:12" hidden="1" x14ac:dyDescent="0.2">
      <c r="B57" s="262"/>
      <c r="C57" s="308" t="str">
        <f>IF(B57=0,"",VLOOKUP($B57,Materials[],2,FALSE))</f>
        <v/>
      </c>
      <c r="D57" s="308"/>
      <c r="E57" s="308"/>
      <c r="F57" s="258"/>
      <c r="G57" s="241"/>
      <c r="H57" s="280"/>
      <c r="I57" s="42" t="str">
        <f>IF($B57=0,"",VLOOKUP($B57,Materials[],5,FALSE))</f>
        <v/>
      </c>
      <c r="J57" s="43" t="str">
        <f>IF($B57=0,"",VLOOKUP($B57,Materials[],7,FALSE))</f>
        <v/>
      </c>
      <c r="K57" s="30">
        <f>IF(B57=0,0,ROUND(G57*H57*J57,2))</f>
        <v>0</v>
      </c>
      <c r="L57" s="35"/>
    </row>
    <row r="58" spans="2:12" hidden="1" x14ac:dyDescent="0.2">
      <c r="B58" s="262"/>
      <c r="C58" s="308" t="str">
        <f>IF(B58=0,"",VLOOKUP($B58,Materials[],2,FALSE))</f>
        <v/>
      </c>
      <c r="D58" s="308"/>
      <c r="E58" s="308"/>
      <c r="F58" s="258"/>
      <c r="G58" s="241"/>
      <c r="H58" s="280"/>
      <c r="I58" s="42" t="str">
        <f>IF($B58=0,"",VLOOKUP($B58,Materials[],5,FALSE))</f>
        <v/>
      </c>
      <c r="J58" s="43" t="str">
        <f>IF($B58=0,"",VLOOKUP($B58,Materials[],7,FALSE))</f>
        <v/>
      </c>
      <c r="K58" s="30">
        <f>IF(B58=0,0,ROUND(G58*H58*J58,2))</f>
        <v>0</v>
      </c>
      <c r="L58" s="35"/>
    </row>
    <row r="59" spans="2:12" hidden="1" x14ac:dyDescent="0.2">
      <c r="B59" s="262"/>
      <c r="C59" s="308" t="str">
        <f>IF(B59=0,"",VLOOKUP($B59,Materials[],2,FALSE))</f>
        <v/>
      </c>
      <c r="D59" s="308"/>
      <c r="E59" s="308"/>
      <c r="F59" s="258"/>
      <c r="G59" s="241"/>
      <c r="H59" s="280"/>
      <c r="I59" s="42" t="str">
        <f>IF($B59=0,"",VLOOKUP($B59,Materials[],5,FALSE))</f>
        <v/>
      </c>
      <c r="J59" s="43" t="str">
        <f>IF($B59=0,"",VLOOKUP($B59,Materials[],7,FALSE))</f>
        <v/>
      </c>
      <c r="K59" s="31">
        <f t="shared" si="2"/>
        <v>0</v>
      </c>
      <c r="L59" s="35"/>
    </row>
    <row r="60" spans="2:12" ht="3.75" customHeight="1" thickBot="1" x14ac:dyDescent="0.25">
      <c r="B60" s="36"/>
      <c r="C60" s="44"/>
      <c r="D60" s="44"/>
      <c r="E60" s="44"/>
      <c r="F60" s="37"/>
      <c r="G60" s="45"/>
      <c r="H60" s="46"/>
      <c r="I60" s="47"/>
      <c r="J60" s="48"/>
      <c r="K60" s="33"/>
      <c r="L60" s="38"/>
    </row>
    <row r="61" spans="2:12" ht="13.5" thickTop="1" x14ac:dyDescent="0.2">
      <c r="C61" s="39" t="s">
        <v>96</v>
      </c>
      <c r="D61" s="39"/>
      <c r="J61" s="30"/>
      <c r="K61" s="264">
        <f>SUM(K35:K59)</f>
        <v>172.22</v>
      </c>
      <c r="L61" s="34"/>
    </row>
    <row r="62" spans="2:12" x14ac:dyDescent="0.2">
      <c r="K62" s="264"/>
    </row>
    <row r="63" spans="2:12" x14ac:dyDescent="0.2">
      <c r="B63" s="235" t="s">
        <v>100</v>
      </c>
      <c r="K63" s="264">
        <f>K31+K61</f>
        <v>326.86</v>
      </c>
      <c r="L63" s="34"/>
    </row>
    <row r="64" spans="2:12" ht="13.5" thickBot="1" x14ac:dyDescent="0.25">
      <c r="D64" s="49" t="s">
        <v>401</v>
      </c>
      <c r="E64" s="50">
        <f>SUM($E$31:$H$31)+$K$61</f>
        <v>267.25</v>
      </c>
      <c r="F64" s="317" t="s">
        <v>402</v>
      </c>
      <c r="G64" s="317"/>
      <c r="H64" s="51">
        <f>'General Variables'!$B$11</f>
        <v>5.5E-2</v>
      </c>
      <c r="I64" s="52" t="str">
        <f>CONCATENATE("for ",TEXT('General Variables'!$B$12,"0.0")," mo.")</f>
        <v>for 6.0 mo.</v>
      </c>
      <c r="K64" s="265">
        <f>ROUND(E64*H64*'General Variables'!$B$12/12,2)</f>
        <v>7.35</v>
      </c>
      <c r="L64" s="53"/>
    </row>
    <row r="65" spans="2:12" ht="13.5" thickTop="1" x14ac:dyDescent="0.2">
      <c r="B65" s="235" t="s">
        <v>406</v>
      </c>
      <c r="K65" s="264">
        <f>SUM(K63:K64)</f>
        <v>334.21000000000004</v>
      </c>
      <c r="L65" s="34"/>
    </row>
    <row r="66" spans="2:12" x14ac:dyDescent="0.2">
      <c r="K66" s="264"/>
    </row>
    <row r="67" spans="2:12" x14ac:dyDescent="0.2">
      <c r="B67" s="54" t="s">
        <v>434</v>
      </c>
      <c r="C67" s="55"/>
      <c r="D67" s="55"/>
      <c r="E67" s="55"/>
      <c r="F67" s="55"/>
      <c r="G67" s="55"/>
      <c r="H67" s="55"/>
      <c r="I67" s="55"/>
      <c r="J67" s="55"/>
      <c r="K67" s="266">
        <f>'General Variables'!B14</f>
        <v>20</v>
      </c>
      <c r="L67" s="34"/>
    </row>
    <row r="68" spans="2:12" x14ac:dyDescent="0.2">
      <c r="B68" s="216" t="s">
        <v>409</v>
      </c>
      <c r="C68" s="318" t="s">
        <v>472</v>
      </c>
      <c r="D68" s="319"/>
      <c r="E68" s="320"/>
      <c r="F68" s="56">
        <f>IF(C68=0,0,VLOOKUP(C68,RETable,2,FALSE))</f>
        <v>3730</v>
      </c>
      <c r="G68" s="317" t="s">
        <v>410</v>
      </c>
      <c r="H68" s="317"/>
      <c r="I68" s="51">
        <f>'General Variables'!$B$10</f>
        <v>0.04</v>
      </c>
      <c r="K68" s="267">
        <f>ROUND(F68*I68,2)</f>
        <v>149.19999999999999</v>
      </c>
      <c r="L68" s="34"/>
    </row>
    <row r="69" spans="2:12" ht="13.5" thickBot="1" x14ac:dyDescent="0.25">
      <c r="B69" s="216" t="s">
        <v>418</v>
      </c>
      <c r="F69" s="57">
        <f>IF(C68=0,0,VLOOKUP(C68,RETable,2,FALSE))</f>
        <v>3730</v>
      </c>
      <c r="G69" s="316" t="s">
        <v>410</v>
      </c>
      <c r="H69" s="316"/>
      <c r="I69" s="58">
        <f>'General Variables'!$B$13</f>
        <v>0.01</v>
      </c>
      <c r="J69" s="1"/>
      <c r="K69" s="268">
        <f>ROUND(F69*I69,2)</f>
        <v>37.299999999999997</v>
      </c>
      <c r="L69" s="53"/>
    </row>
    <row r="70" spans="2:12" ht="13.5" thickTop="1" x14ac:dyDescent="0.2">
      <c r="B70" s="235" t="s">
        <v>423</v>
      </c>
      <c r="K70" s="264">
        <f>SUM(K65:K69)</f>
        <v>540.71</v>
      </c>
      <c r="L70" s="34"/>
    </row>
    <row r="72" spans="2:12" x14ac:dyDescent="0.2">
      <c r="B72" s="235" t="str">
        <f>"Cost per "&amp;$B$4</f>
        <v>Cost per ton</v>
      </c>
      <c r="K72" s="30">
        <f>IF(A4="Yield",0,K70/$A$4)</f>
        <v>193.11071428571432</v>
      </c>
      <c r="L72" s="34"/>
    </row>
    <row r="73" spans="2:12" x14ac:dyDescent="0.2">
      <c r="B73" s="244" t="str">
        <f>"Cash Cost per "&amp;$B$4</f>
        <v>Cash Cost per ton</v>
      </c>
      <c r="C73" s="1"/>
      <c r="D73" s="1"/>
      <c r="E73" s="1"/>
      <c r="F73" s="1"/>
      <c r="G73" s="1"/>
      <c r="H73" s="1"/>
      <c r="I73" s="1"/>
      <c r="J73" s="1"/>
      <c r="K73" s="11">
        <f>IF($A$4="Yield",0,(E64+K64+K69)/$A$4)</f>
        <v>111.39285714285717</v>
      </c>
      <c r="L73" s="59"/>
    </row>
    <row r="83" spans="2:4" x14ac:dyDescent="0.2">
      <c r="B83" s="233"/>
      <c r="C83" s="233"/>
      <c r="D83" s="233"/>
    </row>
    <row r="84" spans="2:4" x14ac:dyDescent="0.2">
      <c r="B84" s="233"/>
      <c r="C84" s="233"/>
      <c r="D84" s="233"/>
    </row>
    <row r="85" spans="2:4" x14ac:dyDescent="0.2">
      <c r="B85" s="233"/>
      <c r="C85" s="233"/>
      <c r="D85" s="233"/>
    </row>
    <row r="86" spans="2:4" x14ac:dyDescent="0.2">
      <c r="B86" s="233"/>
      <c r="C86" s="233"/>
      <c r="D86" s="233"/>
    </row>
    <row r="87" spans="2:4" x14ac:dyDescent="0.2">
      <c r="B87" s="233"/>
      <c r="C87" s="233"/>
      <c r="D87" s="233"/>
    </row>
    <row r="88" spans="2:4" x14ac:dyDescent="0.2">
      <c r="B88" s="233"/>
      <c r="C88" s="233"/>
      <c r="D88" s="233"/>
    </row>
    <row r="89" spans="2:4" x14ac:dyDescent="0.2">
      <c r="B89" s="233"/>
      <c r="C89" s="233"/>
      <c r="D89" s="233"/>
    </row>
    <row r="90" spans="2:4" x14ac:dyDescent="0.2">
      <c r="B90" s="233"/>
      <c r="C90" s="233"/>
      <c r="D90" s="233"/>
    </row>
    <row r="91" spans="2:4" x14ac:dyDescent="0.2">
      <c r="B91" s="233"/>
      <c r="C91" s="233"/>
      <c r="D91" s="233"/>
    </row>
    <row r="92" spans="2:4" x14ac:dyDescent="0.2">
      <c r="B92" s="233"/>
      <c r="C92" s="233"/>
      <c r="D92" s="233"/>
    </row>
    <row r="93" spans="2:4" x14ac:dyDescent="0.2">
      <c r="B93" s="233"/>
      <c r="C93" s="233"/>
      <c r="D93" s="233"/>
    </row>
    <row r="94" spans="2:4" x14ac:dyDescent="0.2">
      <c r="B94" s="233"/>
      <c r="C94" s="233"/>
      <c r="D94" s="233"/>
    </row>
    <row r="95" spans="2:4" x14ac:dyDescent="0.2">
      <c r="B95" s="233"/>
      <c r="C95" s="233"/>
      <c r="D95" s="233"/>
    </row>
    <row r="96" spans="2:4" x14ac:dyDescent="0.2">
      <c r="B96" s="233"/>
      <c r="C96" s="233"/>
      <c r="D96" s="233"/>
    </row>
    <row r="97" spans="2:11" x14ac:dyDescent="0.2">
      <c r="B97" s="233"/>
      <c r="C97" s="233"/>
      <c r="D97" s="233"/>
    </row>
    <row r="98" spans="2:11" x14ac:dyDescent="0.2">
      <c r="B98" s="233"/>
      <c r="C98" s="233"/>
      <c r="D98" s="233"/>
    </row>
    <row r="99" spans="2:11" x14ac:dyDescent="0.2">
      <c r="B99" s="233"/>
      <c r="C99" s="233"/>
      <c r="D99" s="233"/>
    </row>
    <row r="100" spans="2:11" x14ac:dyDescent="0.2">
      <c r="B100" s="233"/>
      <c r="C100" s="233"/>
      <c r="D100" s="233"/>
    </row>
    <row r="101" spans="2:11" x14ac:dyDescent="0.2">
      <c r="B101" s="233"/>
      <c r="C101" s="233"/>
      <c r="D101" s="233"/>
    </row>
    <row r="102" spans="2:11" x14ac:dyDescent="0.2">
      <c r="B102" s="233"/>
      <c r="C102" s="233"/>
      <c r="D102" s="233"/>
    </row>
    <row r="103" spans="2:11" x14ac:dyDescent="0.2">
      <c r="B103" s="233"/>
      <c r="C103" s="233"/>
      <c r="D103" s="233"/>
    </row>
    <row r="104" spans="2:11" x14ac:dyDescent="0.2">
      <c r="B104" s="233"/>
      <c r="C104" s="233"/>
      <c r="D104" s="233"/>
    </row>
    <row r="105" spans="2:11" x14ac:dyDescent="0.2">
      <c r="B105" s="233"/>
      <c r="C105" s="233"/>
      <c r="D105" s="233"/>
    </row>
    <row r="106" spans="2:11" x14ac:dyDescent="0.2">
      <c r="B106" s="233"/>
      <c r="C106" s="233"/>
      <c r="D106" s="233"/>
    </row>
    <row r="107" spans="2:11" x14ac:dyDescent="0.2">
      <c r="B107" s="233"/>
      <c r="C107" s="233"/>
      <c r="D107" s="233"/>
    </row>
    <row r="108" spans="2:11" x14ac:dyDescent="0.2">
      <c r="B108" s="1" t="str">
        <f>IF(Operations!A2="","",Operations!A2)</f>
        <v>Aerial Spray</v>
      </c>
      <c r="C108" s="1" t="str">
        <f>IF(Materials!B2="","",Materials!B2)</f>
        <v>10-34-0</v>
      </c>
      <c r="D108" s="1"/>
      <c r="F108" s="216" t="str">
        <f>IF('General Variables'!E5=0,"",'General Variables'!E5)</f>
        <v>Dryland (State)</v>
      </c>
    </row>
    <row r="109" spans="2:11" x14ac:dyDescent="0.2">
      <c r="B109" s="1" t="str">
        <f>IF(Operations!A3="","",Operations!A3)</f>
        <v>Anhy Apply (supplier)</v>
      </c>
      <c r="C109" s="1" t="str">
        <f>IF(Materials!B3="","",Materials!B3)</f>
        <v>10-34-0-1Z</v>
      </c>
      <c r="D109" s="1"/>
      <c r="F109" s="216" t="str">
        <f>IF('General Variables'!E6=0,"",'General Variables'!E6)</f>
        <v>Dryland (Panhandle)</v>
      </c>
      <c r="K109" s="216" t="s">
        <v>571</v>
      </c>
    </row>
    <row r="110" spans="2:11" x14ac:dyDescent="0.2">
      <c r="B110" s="1" t="str">
        <f>IF(Operations!A4="","",Operations!A4)</f>
        <v>Anhydrous Apply</v>
      </c>
      <c r="C110" s="1" t="str">
        <f>IF(Materials!B4="","",Materials!B4)</f>
        <v>11-52-0</v>
      </c>
      <c r="D110" s="1"/>
      <c r="F110" s="216" t="str">
        <f>IF('General Variables'!E7=0,"",'General Variables'!E7)</f>
        <v>Gravity (State)</v>
      </c>
      <c r="K110" s="216" t="s">
        <v>572</v>
      </c>
    </row>
    <row r="111" spans="2:11" x14ac:dyDescent="0.2">
      <c r="B111" s="1" t="str">
        <f>IF(Operations!A5="","",Operations!A5)</f>
        <v>Cart</v>
      </c>
      <c r="C111" s="1" t="str">
        <f>IF(Materials!B5="","",Materials!B5)</f>
        <v>2,4-D Amine</v>
      </c>
      <c r="D111" s="1"/>
      <c r="F111" s="216" t="str">
        <f>IF('General Variables'!E8=0,"",'General Variables'!E8)</f>
        <v>Gravity (Panhandle)</v>
      </c>
    </row>
    <row r="112" spans="2:11" x14ac:dyDescent="0.2">
      <c r="B112" s="1" t="str">
        <f>IF(Operations!A6="","",Operations!A6)</f>
        <v>Chisel</v>
      </c>
      <c r="C112" s="1" t="str">
        <f>IF(Materials!B6="","",Materials!B6)</f>
        <v>2,4-D Ester 4#</v>
      </c>
      <c r="D112" s="1"/>
      <c r="F112" s="216" t="str">
        <f>IF('General Variables'!E9=0,"",'General Variables'!E9)</f>
        <v>Pivot (State)</v>
      </c>
    </row>
    <row r="113" spans="2:6" x14ac:dyDescent="0.2">
      <c r="B113" s="1" t="str">
        <f>IF(Operations!A7="","",Operations!A7)</f>
        <v>Chop Silage</v>
      </c>
      <c r="C113" s="1" t="str">
        <f>IF(Materials!B7="","",Materials!B7)</f>
        <v xml:space="preserve">21-0-0-24S   </v>
      </c>
      <c r="D113" s="1"/>
      <c r="F113" s="216" t="str">
        <f>IF('General Variables'!E10=0,"",'General Variables'!E10)</f>
        <v>Pivot (Panhandle)</v>
      </c>
    </row>
    <row r="114" spans="2:6" x14ac:dyDescent="0.2">
      <c r="B114" s="1" t="str">
        <f>IF(Operations!A8="","",Operations!A8)</f>
        <v>Chop Stalks</v>
      </c>
      <c r="C114" s="1" t="str">
        <f>IF(Materials!B8="","",Materials!B8)</f>
        <v>28-0-0</v>
      </c>
      <c r="D114" s="1"/>
      <c r="F114" s="216" t="str">
        <f>IF('General Variables'!E11=0,"",'General Variables'!E11)</f>
        <v>Dryland (Southwest)</v>
      </c>
    </row>
    <row r="115" spans="2:6" x14ac:dyDescent="0.2">
      <c r="B115" s="1" t="str">
        <f>IF(Operations!A9="","",Operations!A9)</f>
        <v>Combine Dryland Corn</v>
      </c>
      <c r="C115" s="1" t="str">
        <f>IF(Materials!B9="","",Materials!B9)</f>
        <v>32-0-0</v>
      </c>
      <c r="D115" s="1"/>
      <c r="F115" s="216" t="str">
        <f>IF('General Variables'!E12=0,"",'General Variables'!E12)</f>
        <v>Fall Establishment</v>
      </c>
    </row>
    <row r="116" spans="2:6" x14ac:dyDescent="0.2">
      <c r="B116" s="1" t="str">
        <f>IF(Operations!A10="","",Operations!A10)</f>
        <v>Combine Dryland SB</v>
      </c>
      <c r="C116" s="1" t="str">
        <f>IF(Materials!B10="","",Materials!B10)</f>
        <v>32-0-0 (Applied by Pivot)</v>
      </c>
      <c r="D116" s="1"/>
      <c r="F116" s="216" t="str">
        <f>IF('General Variables'!E13=0,"",'General Variables'!E13)</f>
        <v>Pivot (Marginal Land)</v>
      </c>
    </row>
    <row r="117" spans="2:6" x14ac:dyDescent="0.2">
      <c r="B117" s="1" t="str">
        <f>IF(Operations!A11="","",Operations!A11)</f>
        <v>Combine Dryland SG</v>
      </c>
      <c r="C117" s="1" t="str">
        <f>IF(Materials!B11="","",Materials!B11)</f>
        <v>32-0-0 (Applied by R2)</v>
      </c>
      <c r="D117" s="1"/>
      <c r="F117" s="216" t="e">
        <f>IF('General Variables'!#REF!=0,"",'General Variables'!#REF!)</f>
        <v>#REF!</v>
      </c>
    </row>
    <row r="118" spans="2:6" x14ac:dyDescent="0.2">
      <c r="B118" s="1" t="str">
        <f>IF(Operations!A12="","",Operations!A12)</f>
        <v>Combine Irr Corn</v>
      </c>
      <c r="C118" s="1" t="str">
        <f>IF(Materials!B12="","",Materials!B12)</f>
        <v>32-0-0 (Additive)</v>
      </c>
      <c r="D118" s="1"/>
      <c r="F118" s="216" t="e">
        <f>IF('General Variables'!#REF!=0,"",'General Variables'!#REF!)</f>
        <v>#REF!</v>
      </c>
    </row>
    <row r="119" spans="2:6" x14ac:dyDescent="0.2">
      <c r="B119" s="1" t="str">
        <f>IF(Operations!A13="","",Operations!A13)</f>
        <v>Combine Irr Dry Beans</v>
      </c>
      <c r="C119" s="1" t="str">
        <f>IF(Materials!B13="","",Materials!B13)</f>
        <v>46-0-0</v>
      </c>
      <c r="D119" s="1"/>
      <c r="F119" s="216" t="e">
        <f>IF('General Variables'!#REF!=0,"",'General Variables'!#REF!)</f>
        <v>#REF!</v>
      </c>
    </row>
    <row r="120" spans="2:6" x14ac:dyDescent="0.2">
      <c r="B120" s="1" t="str">
        <f>IF(Operations!A14="","",Operations!A14)</f>
        <v>Combine Irr SB</v>
      </c>
      <c r="C120" s="1" t="str">
        <f>IF(Materials!B14="","",Materials!B14)</f>
        <v>82-0-0</v>
      </c>
      <c r="D120" s="1"/>
      <c r="F120" s="216" t="e">
        <f>IF('General Variables'!#REF!=0,"",'General Variables'!#REF!)</f>
        <v>#REF!</v>
      </c>
    </row>
    <row r="121" spans="2:6" x14ac:dyDescent="0.2">
      <c r="B121" s="1" t="str">
        <f>IF(Operations!A15="","",Operations!A15)</f>
        <v>Combine Irr SG</v>
      </c>
      <c r="C121" s="1" t="str">
        <f>IF(Materials!B15="","",Materials!B15)</f>
        <v>AAtrex 4L</v>
      </c>
      <c r="D121" s="1"/>
      <c r="F121" s="216" t="e">
        <f>IF('General Variables'!#REF!=0,"",'General Variables'!#REF!)</f>
        <v>#REF!</v>
      </c>
    </row>
    <row r="122" spans="2:6" x14ac:dyDescent="0.2">
      <c r="B122" s="1" t="str">
        <f>IF(Operations!A16="","",Operations!A16)</f>
        <v>Combine Irrigated Dry Beans with Draper Flex Platform</v>
      </c>
      <c r="C122" s="1" t="str">
        <f>IF(Materials!B16="","",Materials!B16)</f>
        <v>Aerial Spray</v>
      </c>
      <c r="D122" s="1"/>
      <c r="F122" s="216" t="e">
        <f>IF('General Variables'!#REF!=0,"",'General Variables'!#REF!)</f>
        <v>#REF!</v>
      </c>
    </row>
    <row r="123" spans="2:6" x14ac:dyDescent="0.2">
      <c r="B123" s="1" t="str">
        <f>IF(Operations!A17="","",Operations!A17)</f>
        <v>Combine Small Grain</v>
      </c>
      <c r="C123" s="1" t="str">
        <f>IF(Materials!B17="","",Materials!B17)</f>
        <v>Aim 2EC</v>
      </c>
      <c r="D123" s="1"/>
      <c r="F123" s="216" t="e">
        <f>IF('General Variables'!#REF!=0,"",'General Variables'!#REF!)</f>
        <v>#REF!</v>
      </c>
    </row>
    <row r="124" spans="2:6" x14ac:dyDescent="0.2">
      <c r="B124" s="1" t="str">
        <f>IF(Operations!A18="","",Operations!A18)</f>
        <v>Combine Sunflowers</v>
      </c>
      <c r="C124" s="1" t="str">
        <f>IF(Materials!B18="","",Materials!B18)</f>
        <v>Alfalfa RR w/ Inoculant</v>
      </c>
      <c r="D124" s="1"/>
      <c r="F124" s="216" t="e">
        <f>IF('General Variables'!#REF!=0,"",'General Variables'!#REF!)</f>
        <v>#REF!</v>
      </c>
    </row>
    <row r="125" spans="2:6" x14ac:dyDescent="0.2">
      <c r="B125" s="1" t="str">
        <f>IF(Operations!A19="","",Operations!A19)</f>
        <v>Corrugate</v>
      </c>
      <c r="C125" s="1" t="str">
        <f>IF(Materials!B19="","",Materials!B19)</f>
        <v>Alfalfa w/Inoculant</v>
      </c>
      <c r="D125" s="1"/>
      <c r="F125" s="216" t="e">
        <f>IF('General Variables'!#REF!=0,"",'General Variables'!#REF!)</f>
        <v>#REF!</v>
      </c>
    </row>
    <row r="126" spans="2:6" x14ac:dyDescent="0.2">
      <c r="B126" s="1" t="str">
        <f>IF(Operations!A20="","",Operations!A20)</f>
        <v>Disc</v>
      </c>
      <c r="C126" s="1" t="str">
        <f>IF(Materials!B20="","",Materials!B20)</f>
        <v>Ally Extra SGW/TOTSOL</v>
      </c>
      <c r="D126" s="1"/>
      <c r="F126" s="216" t="e">
        <f>IF('General Variables'!#REF!=0,"",'General Variables'!#REF!)</f>
        <v>#REF!</v>
      </c>
    </row>
    <row r="127" spans="2:6" x14ac:dyDescent="0.2">
      <c r="B127" s="1" t="str">
        <f>IF(Operations!A21="","",Operations!A21)</f>
        <v>Ditch Irrigation</v>
      </c>
      <c r="C127" s="1" t="str">
        <f>IF(Materials!B21="","",Materials!B21)</f>
        <v>Asana XL</v>
      </c>
      <c r="D127" s="1"/>
      <c r="F127" s="216" t="e">
        <f>IF('General Variables'!#REF!=0,"",'General Variables'!#REF!)</f>
        <v>#REF!</v>
      </c>
    </row>
    <row r="128" spans="2:6" x14ac:dyDescent="0.2">
      <c r="B128" s="1" t="str">
        <f>IF(Operations!A22="","",Operations!A22)</f>
        <v>Double Windrows</v>
      </c>
      <c r="C128" s="1" t="str">
        <f>IF(Materials!B22="","",Materials!B22)</f>
        <v>Atrazine 4L</v>
      </c>
      <c r="D128" s="1"/>
      <c r="F128" s="216" t="str">
        <f>IF('General Variables'!M3=0,"",'General Variables'!M3)</f>
        <v/>
      </c>
    </row>
    <row r="129" spans="2:6" x14ac:dyDescent="0.2">
      <c r="B129" s="1" t="str">
        <f>IF(Operations!A23="","",Operations!A23)</f>
        <v>Drill</v>
      </c>
      <c r="C129" s="1" t="str">
        <f>IF(Materials!B23="","",Materials!B23)</f>
        <v>Atrazine 90 DF</v>
      </c>
      <c r="D129" s="1"/>
      <c r="F129" s="216" t="str">
        <f>IF('General Variables'!I3=0,"",'General Variables'!I3)</f>
        <v/>
      </c>
    </row>
    <row r="130" spans="2:6" x14ac:dyDescent="0.2">
      <c r="B130" s="1" t="str">
        <f>IF(Operations!A24="","",Operations!A24)</f>
        <v>Drill w/ Fertillizer</v>
      </c>
      <c r="C130" s="1" t="str">
        <f>IF(Materials!B24="","",Materials!B24)</f>
        <v>Authority First DF</v>
      </c>
      <c r="D130" s="1"/>
      <c r="F130" s="216" t="e">
        <f>IF('General Variables'!#REF!=0,"",'General Variables'!#REF!)</f>
        <v>#REF!</v>
      </c>
    </row>
    <row r="131" spans="2:6" x14ac:dyDescent="0.2">
      <c r="B131" s="1" t="str">
        <f>IF(Operations!A25="","",Operations!A25)</f>
        <v>Dry Grain</v>
      </c>
      <c r="C131" s="1" t="str">
        <f>IF(Materials!B25="","",Materials!B25)</f>
        <v>Balance Flexx</v>
      </c>
      <c r="D131" s="1"/>
      <c r="F131" s="216" t="e">
        <f>IF('General Variables'!#REF!=0,"",'General Variables'!#REF!)</f>
        <v>#REF!</v>
      </c>
    </row>
    <row r="132" spans="2:6" x14ac:dyDescent="0.2">
      <c r="B132" s="1" t="str">
        <f>IF(Operations!A26="","",Operations!A26)</f>
        <v>Fallow Master</v>
      </c>
      <c r="C132" s="1" t="str">
        <f>IF(Materials!B26="","",Materials!B26)</f>
        <v>Bale Lg Sq 1360 lb</v>
      </c>
      <c r="D132" s="1"/>
      <c r="F132" s="216" t="e">
        <f>IF('General Variables'!#REF!=0,"",'General Variables'!#REF!)</f>
        <v>#REF!</v>
      </c>
    </row>
    <row r="133" spans="2:6" x14ac:dyDescent="0.2">
      <c r="B133" s="1" t="str">
        <f>IF(Operations!A27="","",Operations!A27)</f>
        <v>Field Cultivation</v>
      </c>
      <c r="C133" s="1" t="str">
        <f>IF(Materials!B27="","",Materials!B27)</f>
        <v>Basagran</v>
      </c>
      <c r="D133" s="1"/>
      <c r="F133" s="216" t="e">
        <f>IF('General Variables'!#REF!=0,"",'General Variables'!#REF!)</f>
        <v>#REF!</v>
      </c>
    </row>
    <row r="134" spans="2:6" x14ac:dyDescent="0.2">
      <c r="B134" s="1" t="str">
        <f>IF(Operations!A28="","",Operations!A28)</f>
        <v>Grass Drill</v>
      </c>
      <c r="C134" s="1" t="str">
        <f>IF(Materials!B28="","",Materials!B28)</f>
        <v>Bicep II Magnum</v>
      </c>
      <c r="D134" s="1"/>
    </row>
    <row r="135" spans="2:6" x14ac:dyDescent="0.2">
      <c r="B135" s="1" t="str">
        <f>IF(Operations!A29="","",Operations!A29)</f>
        <v>Harrow</v>
      </c>
      <c r="C135" s="1" t="str">
        <f>IF(Materials!B29="","",Materials!B29)</f>
        <v>Brigade 2EC</v>
      </c>
      <c r="D135" s="1"/>
    </row>
    <row r="136" spans="2:6" x14ac:dyDescent="0.2">
      <c r="B136" s="1" t="str">
        <f>IF(Operations!A30="","",Operations!A30)</f>
        <v>Hoe</v>
      </c>
      <c r="C136" s="1" t="str">
        <f>IF(Materials!B30="","",Materials!B30)</f>
        <v>Buctril 4E</v>
      </c>
      <c r="D136" s="1"/>
    </row>
    <row r="137" spans="2:6" x14ac:dyDescent="0.2">
      <c r="B137" s="1" t="str">
        <f>IF(Operations!A31="","",Operations!A31)</f>
        <v>Lg Rd Bale</v>
      </c>
      <c r="C137" s="1" t="str">
        <f>IF(Materials!B31="","",Materials!B31)</f>
        <v>Capture LFR</v>
      </c>
      <c r="D137" s="1"/>
    </row>
    <row r="138" spans="2:6" x14ac:dyDescent="0.2">
      <c r="B138" s="1" t="str">
        <f>IF(Operations!A32="","",Operations!A32)</f>
        <v>Lg Sq Bale</v>
      </c>
      <c r="C138" s="1" t="str">
        <f>IF(Materials!B32="","",Materials!B32)</f>
        <v>Chop, Haul, Pack</v>
      </c>
      <c r="D138" s="1"/>
    </row>
    <row r="139" spans="2:6" x14ac:dyDescent="0.2">
      <c r="B139" s="1" t="str">
        <f>IF(Operations!A33="","",Operations!A33)</f>
        <v>Lift Beets</v>
      </c>
      <c r="C139" s="1" t="str">
        <f>IF(Materials!B33="","",Materials!B33)</f>
        <v>Copper</v>
      </c>
      <c r="D139" s="1"/>
    </row>
    <row r="140" spans="2:6" x14ac:dyDescent="0.2">
      <c r="B140" s="1" t="str">
        <f>IF(Operations!A34="","",Operations!A34)</f>
        <v>Load Lg Sq</v>
      </c>
      <c r="C140" s="1" t="str">
        <f>IF(Materials!B34="","",Materials!B34)</f>
        <v>Corn</v>
      </c>
      <c r="D140" s="1"/>
    </row>
    <row r="141" spans="2:6" x14ac:dyDescent="0.2">
      <c r="B141" s="1" t="str">
        <f>IF(Operations!A35="","",Operations!A35)</f>
        <v>Move Lg Rd</v>
      </c>
      <c r="C141" s="1" t="str">
        <f>IF(Materials!B35="","",Materials!B35)</f>
        <v>Corn Bt ECB</v>
      </c>
      <c r="D141" s="1"/>
    </row>
    <row r="142" spans="2:6" x14ac:dyDescent="0.2">
      <c r="B142" s="1" t="str">
        <f>IF(Operations!A36="","",Operations!A36)</f>
        <v>No-Till Drill</v>
      </c>
      <c r="C142" s="1" t="str">
        <f>IF(Materials!B36="","",Materials!B36)</f>
        <v>Corn Bt ECB&amp;RW</v>
      </c>
      <c r="D142" s="1"/>
    </row>
    <row r="143" spans="2:6" x14ac:dyDescent="0.2">
      <c r="B143" s="1" t="str">
        <f>IF(Operations!A37="","",Operations!A37)</f>
        <v>Pickett Windrowers</v>
      </c>
      <c r="C143" s="1" t="str">
        <f>IF(Materials!B37="","",Materials!B37)</f>
        <v>Corn Bt, ECB, RW &amp; RR2</v>
      </c>
      <c r="D143" s="1"/>
    </row>
    <row r="144" spans="2:6" x14ac:dyDescent="0.2">
      <c r="B144" s="1" t="str">
        <f>IF(Operations!A38="","",Operations!A38)</f>
        <v>Pipe D125’ Lift</v>
      </c>
      <c r="C144" s="1" t="str">
        <f>IF(Materials!B38="","",Materials!B38)</f>
        <v>Corn ECB &amp; RR2</v>
      </c>
      <c r="D144" s="1"/>
    </row>
    <row r="145" spans="2:4" x14ac:dyDescent="0.2">
      <c r="B145" s="1" t="str">
        <f>IF(Operations!A39="","",Operations!A39)</f>
        <v>PivotD 125’Lift</v>
      </c>
      <c r="C145" s="1" t="str">
        <f>IF(Materials!B39="","",Materials!B39)</f>
        <v>Corn RR2</v>
      </c>
      <c r="D145" s="1"/>
    </row>
    <row r="146" spans="2:4" x14ac:dyDescent="0.2">
      <c r="B146" s="1" t="str">
        <f>IF(Operations!A40="","",Operations!A40)</f>
        <v>PivotD 125’Lift w/fertigation</v>
      </c>
      <c r="C146" s="1" t="str">
        <f>IF(Materials!B40="","",Materials!B40)</f>
        <v xml:space="preserve">Corn SmartStax RIB Complete </v>
      </c>
      <c r="D146" s="1"/>
    </row>
    <row r="147" spans="2:4" x14ac:dyDescent="0.2">
      <c r="B147" s="1" t="str">
        <f>IF(Operations!A41="","",Operations!A41)</f>
        <v>PivotE 125’Lift</v>
      </c>
      <c r="C147" s="1" t="str">
        <f>IF(Materials!B41="","",Materials!B41)</f>
        <v>Cover Crop</v>
      </c>
      <c r="D147" s="1"/>
    </row>
    <row r="148" spans="2:4" x14ac:dyDescent="0.2">
      <c r="B148" s="1" t="str">
        <f>IF(Operations!A42="","",Operations!A42)</f>
        <v>PivotE 125’Lift w/fertigation</v>
      </c>
      <c r="C148" s="1" t="str">
        <f>IF(Materials!B42="","",Materials!B42)</f>
        <v>Cover Crop Legume</v>
      </c>
      <c r="D148" s="1"/>
    </row>
    <row r="149" spans="2:4" x14ac:dyDescent="0.2">
      <c r="B149" s="1" t="str">
        <f>IF(Operations!A43="","",Operations!A43)</f>
        <v>Plant</v>
      </c>
      <c r="C149" s="1" t="str">
        <f>IF(Materials!B43="","",Materials!B43)</f>
        <v>Crop Oil Concentrate</v>
      </c>
      <c r="D149" s="1"/>
    </row>
    <row r="150" spans="2:4" x14ac:dyDescent="0.2">
      <c r="B150" s="1" t="str">
        <f>IF(Operations!A44="","",Operations!A44)</f>
        <v>Plant Narrow Row</v>
      </c>
      <c r="C150" s="1" t="str">
        <f>IF(Materials!B44="","",Materials!B44)</f>
        <v>Dicamba</v>
      </c>
      <c r="D150" s="1"/>
    </row>
    <row r="151" spans="2:4" x14ac:dyDescent="0.2">
      <c r="B151" s="1" t="str">
        <f>IF(Operations!A45="","",Operations!A45)</f>
        <v>Plant No-Till</v>
      </c>
      <c r="C151" s="1" t="str">
        <f>IF(Materials!B45="","",Materials!B45)</f>
        <v>Distinct</v>
      </c>
      <c r="D151" s="1"/>
    </row>
    <row r="152" spans="2:4" x14ac:dyDescent="0.2">
      <c r="B152" s="1" t="str">
        <f>IF(Operations!A46="","",Operations!A46)</f>
        <v>Plow</v>
      </c>
      <c r="C152" s="1" t="str">
        <f>IF(Materials!B46="","",Materials!B46)</f>
        <v>Dry 2 Points Removed</v>
      </c>
      <c r="D152" s="1"/>
    </row>
    <row r="153" spans="2:4" x14ac:dyDescent="0.2">
      <c r="B153" s="1" t="str">
        <f>IF(Operations!A47="","",Operations!A47)</f>
        <v>Ridge Cultivate/Ditch</v>
      </c>
      <c r="C153" s="1" t="str">
        <f>IF(Materials!B47="","",Materials!B47)</f>
        <v>Edible Beans</v>
      </c>
      <c r="D153" s="1"/>
    </row>
    <row r="154" spans="2:4" x14ac:dyDescent="0.2">
      <c r="B154" s="1" t="str">
        <f>IF(Operations!A48="","",Operations!A48)</f>
        <v>Ridge Cultivation</v>
      </c>
      <c r="C154" s="1" t="str">
        <f>IF(Materials!B48="","",Materials!B48)</f>
        <v>Electricity Fixed</v>
      </c>
      <c r="D154" s="1"/>
    </row>
    <row r="155" spans="2:4" x14ac:dyDescent="0.2">
      <c r="B155" s="1" t="str">
        <f>IF(Operations!A49="","",Operations!A49)</f>
        <v>Ridge Plant</v>
      </c>
      <c r="C155" s="1" t="str">
        <f>IF(Materials!B49="","",Materials!B49)</f>
        <v>Electricity Usage</v>
      </c>
      <c r="D155" s="1"/>
    </row>
    <row r="156" spans="2:4" x14ac:dyDescent="0.2">
      <c r="B156" s="1" t="str">
        <f>IF(Operations!A50="","",Operations!A50)</f>
        <v>Ridge plant and band herb.</v>
      </c>
      <c r="C156" s="1" t="str">
        <f>IF(Materials!B50="","",Materials!B50)</f>
        <v>Expert</v>
      </c>
      <c r="D156" s="1"/>
    </row>
    <row r="157" spans="2:4" x14ac:dyDescent="0.2">
      <c r="B157" s="1" t="str">
        <f>IF(Operations!A51="","",Operations!A51)</f>
        <v>Rod Weeder</v>
      </c>
      <c r="C157" s="1" t="str">
        <f>IF(Materials!B51="","",Materials!B51)</f>
        <v>Fence/water repairs</v>
      </c>
      <c r="D157" s="1"/>
    </row>
    <row r="158" spans="2:4" x14ac:dyDescent="0.2">
      <c r="B158" s="1" t="str">
        <f>IF(Operations!A52="","",Operations!A52)</f>
        <v>Rod Weeder &amp; Fertilizer</v>
      </c>
      <c r="C158" s="1" t="str">
        <f>IF(Materials!B52="","",Materials!B52)</f>
        <v>Glyphosate w/Surf</v>
      </c>
      <c r="D158" s="1"/>
    </row>
    <row r="159" spans="2:4" x14ac:dyDescent="0.2">
      <c r="B159" s="1" t="str">
        <f>IF(Operations!A53="","",Operations!A53)</f>
        <v>Roll</v>
      </c>
      <c r="C159" s="1" t="str">
        <f>IF(Materials!B53="","",Materials!B53)</f>
        <v>Gramoxone SL</v>
      </c>
      <c r="D159" s="1"/>
    </row>
    <row r="160" spans="2:4" x14ac:dyDescent="0.2">
      <c r="B160" s="1" t="str">
        <f>IF(Operations!A54="","",Operations!A54)</f>
        <v>Roller Harrow</v>
      </c>
      <c r="C160" s="1" t="str">
        <f>IF(Materials!B54="","",Materials!B54)</f>
        <v>Grass Drill</v>
      </c>
      <c r="D160" s="1"/>
    </row>
    <row r="161" spans="2:4" x14ac:dyDescent="0.2">
      <c r="B161" s="1" t="str">
        <f>IF(Operations!A55="","",Operations!A55)</f>
        <v>Row Crop Cultivation</v>
      </c>
      <c r="C161" s="1" t="str">
        <f>IF(Materials!B55="","",Materials!B55)</f>
        <v>Grass Seed</v>
      </c>
      <c r="D161" s="1"/>
    </row>
    <row r="162" spans="2:4" x14ac:dyDescent="0.2">
      <c r="B162" s="1" t="str">
        <f>IF(Operations!A56="","",Operations!A56)</f>
        <v>Seeder/Packer</v>
      </c>
      <c r="C162" s="1" t="str">
        <f>IF(Materials!B56="","",Materials!B56)</f>
        <v>Haul &amp; Apply Manure</v>
      </c>
      <c r="D162" s="1"/>
    </row>
    <row r="163" spans="2:4" x14ac:dyDescent="0.2">
      <c r="B163" s="1" t="str">
        <f>IF(Operations!A57="","",Operations!A57)</f>
        <v>Spray</v>
      </c>
      <c r="C163" s="1" t="str">
        <f>IF(Materials!B57="","",Materials!B57)</f>
        <v>Haul Beets</v>
      </c>
      <c r="D163" s="1"/>
    </row>
    <row r="164" spans="2:4" x14ac:dyDescent="0.2">
      <c r="B164" s="1" t="str">
        <f>IF(Operations!A58="","",Operations!A58)</f>
        <v>Spray (on Disk)</v>
      </c>
      <c r="C164" s="1" t="str">
        <f>IF(Materials!B58="","",Materials!B58)</f>
        <v>Haul Grain (Dry Beans)</v>
      </c>
      <c r="D164" s="1"/>
    </row>
    <row r="165" spans="2:4" x14ac:dyDescent="0.2">
      <c r="B165" s="1" t="str">
        <f>IF(Operations!A59="","",Operations!A59)</f>
        <v>Spray (on Field Cultivator)</v>
      </c>
      <c r="C165" s="1" t="str">
        <f>IF(Materials!B59="","",Materials!B59)</f>
        <v>Haul Grain (Millet)</v>
      </c>
      <c r="D165" s="1"/>
    </row>
    <row r="166" spans="2:4" x14ac:dyDescent="0.2">
      <c r="B166" s="1" t="str">
        <f>IF(Operations!A60="","",Operations!A60)</f>
        <v>Spray (Prior Year Stubble)</v>
      </c>
      <c r="C166" s="1" t="str">
        <f>IF(Materials!B60="","",Materials!B60)</f>
        <v>Haul Grain (Sunflower)</v>
      </c>
      <c r="D166" s="1"/>
    </row>
    <row r="167" spans="2:4" x14ac:dyDescent="0.2">
      <c r="B167" s="1" t="str">
        <f>IF(Operations!A61="","",Operations!A61)</f>
        <v>Spray Fertilizer</v>
      </c>
      <c r="C167" s="1" t="str">
        <f>IF(Materials!B61="","",Materials!B61)</f>
        <v>Haul Grain bu</v>
      </c>
      <c r="D167" s="1"/>
    </row>
    <row r="168" spans="2:4" x14ac:dyDescent="0.2">
      <c r="B168" s="1" t="str">
        <f>IF(Operations!A62="","",Operations!A62)</f>
        <v>Spray fertilizer and herbicide</v>
      </c>
      <c r="C168" s="1" t="str">
        <f>IF(Materials!B62="","",Materials!B62)</f>
        <v>Headline AMP</v>
      </c>
      <c r="D168" s="1"/>
    </row>
    <row r="169" spans="2:4" x14ac:dyDescent="0.2">
      <c r="B169" s="1" t="str">
        <f>IF(Operations!A63="","",Operations!A63)</f>
        <v>Spread manure</v>
      </c>
      <c r="C169" s="1" t="str">
        <f>IF(Materials!B63="","",Materials!B63)</f>
        <v>Huskie</v>
      </c>
      <c r="D169" s="1"/>
    </row>
    <row r="170" spans="2:4" x14ac:dyDescent="0.2">
      <c r="B170" s="1" t="str">
        <f>IF(Operations!A64="","",Operations!A64)</f>
        <v>Spread, Fertilizer</v>
      </c>
      <c r="C170" s="1" t="str">
        <f>IF(Materials!B64="","",Materials!B64)</f>
        <v>Irrigation District O&amp;M Charge</v>
      </c>
      <c r="D170" s="1"/>
    </row>
    <row r="171" spans="2:4" x14ac:dyDescent="0.2">
      <c r="B171" s="1" t="str">
        <f>IF(Operations!A65="","",Operations!A65)</f>
        <v>Sm Sq Bale</v>
      </c>
      <c r="C171" s="1" t="str">
        <f>IF(Materials!B65="","",Materials!B65)</f>
        <v>Landmaster BW</v>
      </c>
      <c r="D171" s="1"/>
    </row>
    <row r="172" spans="2:4" x14ac:dyDescent="0.2">
      <c r="B172" s="1" t="str">
        <f>IF(Operations!A66="","",Operations!A66)</f>
        <v>Stack Sm Sq</v>
      </c>
      <c r="C172" s="1" t="str">
        <f>IF(Materials!B66="","",Materials!B66)</f>
        <v>Laudis</v>
      </c>
      <c r="D172" s="1"/>
    </row>
    <row r="173" spans="2:4" x14ac:dyDescent="0.2">
      <c r="B173" s="1" t="str">
        <f>IF(Operations!A67="","",Operations!A67)</f>
        <v>Subsoil</v>
      </c>
      <c r="C173" s="1" t="str">
        <f>IF(Materials!B67="","",Materials!B67)</f>
        <v>Load Large Square Bales</v>
      </c>
      <c r="D173" s="1"/>
    </row>
    <row r="174" spans="2:4" x14ac:dyDescent="0.2">
      <c r="B174" s="1" t="str">
        <f>IF(Operations!A68="","",Operations!A68)</f>
        <v>Till Plant Beets</v>
      </c>
      <c r="C174" s="1" t="str">
        <f>IF(Materials!B68="","",Materials!B68)</f>
        <v>Lorsban 15 G</v>
      </c>
      <c r="D174" s="1"/>
    </row>
    <row r="175" spans="2:4" x14ac:dyDescent="0.2">
      <c r="B175" s="1" t="str">
        <f>IF(Operations!A69="","",Operations!A69)</f>
        <v>Top Beets</v>
      </c>
      <c r="C175" s="1" t="str">
        <f>IF(Materials!B69="","",Materials!B69)</f>
        <v>Lorsban 4 E</v>
      </c>
      <c r="D175" s="1"/>
    </row>
    <row r="176" spans="2:4" x14ac:dyDescent="0.2">
      <c r="B176" s="1" t="str">
        <f>IF(Operations!A70="","",Operations!A70)</f>
        <v>Truck</v>
      </c>
      <c r="C176" s="1" t="str">
        <f>IF(Materials!B70="","",Materials!B70)</f>
        <v>Lumax EZ</v>
      </c>
      <c r="D176" s="1"/>
    </row>
    <row r="177" spans="2:4" x14ac:dyDescent="0.2">
      <c r="B177" s="1" t="str">
        <f>IF(Operations!A71="","",Operations!A71)</f>
        <v>Turn Windrows</v>
      </c>
      <c r="C177" s="1" t="str">
        <f>IF(Materials!B71="","",Materials!B71)</f>
        <v>Millet</v>
      </c>
      <c r="D177" s="1"/>
    </row>
    <row r="178" spans="2:4" x14ac:dyDescent="0.2">
      <c r="B178" s="1" t="str">
        <f>IF(Operations!A72="","",Operations!A72)</f>
        <v>Swath/Cond Hay</v>
      </c>
      <c r="C178" s="1" t="str">
        <f>IF(Materials!B72="","",Materials!B72)</f>
        <v>Move Cattle</v>
      </c>
      <c r="D178" s="1"/>
    </row>
    <row r="179" spans="2:4" x14ac:dyDescent="0.2">
      <c r="B179" s="1" t="str">
        <f>IF(Operations!A73="","",Operations!A73)</f>
        <v>Windrow Grain</v>
      </c>
      <c r="C179" s="1" t="str">
        <f>IF(Materials!B73="","",Materials!B73)</f>
        <v>Mustang Max EC</v>
      </c>
      <c r="D179" s="1"/>
    </row>
    <row r="180" spans="2:4" x14ac:dyDescent="0.2">
      <c r="B180" s="1" t="str">
        <f>IF(Operations!A74="","",Operations!A74)</f>
        <v/>
      </c>
      <c r="C180" s="1" t="str">
        <f>IF(Materials!B74="","",Materials!B74)</f>
        <v>NIS</v>
      </c>
      <c r="D180" s="1"/>
    </row>
    <row r="181" spans="2:4" x14ac:dyDescent="0.2">
      <c r="B181" s="1" t="str">
        <f>IF(Operations!A75="","",Operations!A75)</f>
        <v/>
      </c>
      <c r="C181" s="1" t="str">
        <f>IF(Materials!B75="","",Materials!B75)</f>
        <v>Oats</v>
      </c>
      <c r="D181" s="1"/>
    </row>
    <row r="182" spans="2:4" x14ac:dyDescent="0.2">
      <c r="B182" s="1" t="str">
        <f>IF(Operations!A76="","",Operations!A76)</f>
        <v/>
      </c>
      <c r="C182" s="1" t="str">
        <f>IF(Materials!B76="","",Materials!B76)</f>
        <v>Outlook</v>
      </c>
      <c r="D182" s="1"/>
    </row>
    <row r="183" spans="2:4" x14ac:dyDescent="0.2">
      <c r="B183" s="1" t="str">
        <f>IF(Operations!A77="","",Operations!A77)</f>
        <v/>
      </c>
      <c r="C183" s="1" t="str">
        <f>IF(Materials!B77="","",Materials!B77)</f>
        <v>Pea Seed Innoculent</v>
      </c>
      <c r="D183" s="1"/>
    </row>
    <row r="184" spans="2:4" x14ac:dyDescent="0.2">
      <c r="B184" s="1" t="str">
        <f>IF(Operations!A78="","",Operations!A78)</f>
        <v/>
      </c>
      <c r="C184" s="1" t="str">
        <f>IF(Materials!B78="","",Materials!B78)</f>
        <v>Peak</v>
      </c>
      <c r="D184" s="1"/>
    </row>
    <row r="185" spans="2:4" x14ac:dyDescent="0.2">
      <c r="B185" s="1" t="str">
        <f>IF(Operations!A79="","",Operations!A79)</f>
        <v/>
      </c>
      <c r="C185" s="1" t="str">
        <f>IF(Materials!B79="","",Materials!B79)</f>
        <v>Peas</v>
      </c>
      <c r="D185" s="1"/>
    </row>
    <row r="186" spans="2:4" x14ac:dyDescent="0.2">
      <c r="B186" s="1" t="str">
        <f>IF(Operations!A80="","",Operations!A80)</f>
        <v/>
      </c>
      <c r="C186" s="1" t="str">
        <f>IF(Materials!B80="","",Materials!B80)</f>
        <v>Priaxor</v>
      </c>
      <c r="D186" s="1"/>
    </row>
    <row r="187" spans="2:4" x14ac:dyDescent="0.2">
      <c r="B187" s="1" t="str">
        <f>IF(Operations!A81="","",Operations!A81)</f>
        <v/>
      </c>
      <c r="C187" s="1" t="str">
        <f>IF(Materials!B81="","",Materials!B81)</f>
        <v>Prowl H2O</v>
      </c>
      <c r="D187" s="1"/>
    </row>
    <row r="188" spans="2:4" x14ac:dyDescent="0.2">
      <c r="B188" s="1" t="str">
        <f>IF(Operations!A82="","",Operations!A82)</f>
        <v/>
      </c>
      <c r="C188" s="1" t="str">
        <f>IF(Materials!B82="","",Materials!B82)</f>
        <v xml:space="preserve">Pursuit </v>
      </c>
      <c r="D188" s="1"/>
    </row>
    <row r="189" spans="2:4" x14ac:dyDescent="0.2">
      <c r="B189" s="1" t="str">
        <f>IF(Operations!A83="","",Operations!A83)</f>
        <v/>
      </c>
      <c r="C189" s="1" t="str">
        <f>IF(Materials!B83="","",Materials!B83)</f>
        <v>Quadris</v>
      </c>
      <c r="D189" s="1"/>
    </row>
    <row r="190" spans="2:4" x14ac:dyDescent="0.2">
      <c r="B190" s="1" t="str">
        <f>IF(Operations!A84="","",Operations!A84)</f>
        <v/>
      </c>
      <c r="C190" s="1" t="str">
        <f>IF(Materials!B84="","",Materials!B84)</f>
        <v>Quilt Xcel</v>
      </c>
      <c r="D190" s="1"/>
    </row>
    <row r="191" spans="2:4" x14ac:dyDescent="0.2">
      <c r="B191" s="1" t="str">
        <f>IF(Operations!A85="","",Operations!A85)</f>
        <v/>
      </c>
      <c r="C191" s="1" t="str">
        <f>IF(Materials!B85="","",Materials!B85)</f>
        <v>Raptor</v>
      </c>
      <c r="D191" s="1"/>
    </row>
    <row r="192" spans="2:4" x14ac:dyDescent="0.2">
      <c r="B192" s="1" t="str">
        <f>IF(Operations!A86="","",Operations!A86)</f>
        <v/>
      </c>
      <c r="C192" s="1" t="str">
        <f>IF(Materials!B86="","",Materials!B86)</f>
        <v>Regent 4 SC</v>
      </c>
      <c r="D192" s="1"/>
    </row>
    <row r="193" spans="2:4" x14ac:dyDescent="0.2">
      <c r="B193" s="1" t="str">
        <f>IF(Operations!A87="","",Operations!A87)</f>
        <v/>
      </c>
      <c r="C193" s="1" t="str">
        <f>IF(Materials!B87="","",Materials!B87)</f>
        <v>Roundup WeatherMax</v>
      </c>
      <c r="D193" s="1"/>
    </row>
    <row r="194" spans="2:4" x14ac:dyDescent="0.2">
      <c r="B194" s="1" t="str">
        <f>IF(Operations!A88="","",Operations!A88)</f>
        <v/>
      </c>
      <c r="C194" s="1" t="str">
        <f>IF(Materials!B88="","",Materials!B88)</f>
        <v>RR Soybeans</v>
      </c>
      <c r="D194" s="1"/>
    </row>
    <row r="195" spans="2:4" x14ac:dyDescent="0.2">
      <c r="B195" s="1" t="str">
        <f>IF(Operations!A89="","",Operations!A89)</f>
        <v/>
      </c>
      <c r="C195" s="1" t="str">
        <f>IF(Materials!B89="","",Materials!B89)</f>
        <v>RR Soybeans Treated</v>
      </c>
      <c r="D195" s="1"/>
    </row>
    <row r="196" spans="2:4" x14ac:dyDescent="0.2">
      <c r="B196" s="1" t="str">
        <f>IF(Operations!A90="","",Operations!A90)</f>
        <v/>
      </c>
      <c r="C196" s="1" t="str">
        <f>IF(Materials!B90="","",Materials!B90)</f>
        <v>RR2 Soybeans</v>
      </c>
      <c r="D196" s="1"/>
    </row>
    <row r="197" spans="2:4" x14ac:dyDescent="0.2">
      <c r="B197" s="1" t="str">
        <f>IF(Operations!A91="","",Operations!A91)</f>
        <v/>
      </c>
      <c r="C197" s="1" t="str">
        <f>IF(Materials!B91="","",Materials!B91)</f>
        <v>RR2 Soybeans Treated</v>
      </c>
      <c r="D197" s="1"/>
    </row>
    <row r="198" spans="2:4" x14ac:dyDescent="0.2">
      <c r="B198" s="1" t="str">
        <f>IF(Operations!A92="","",Operations!A92)</f>
        <v/>
      </c>
      <c r="C198" s="1" t="str">
        <f>IF(Materials!B92="","",Materials!B92)</f>
        <v>Rugged</v>
      </c>
      <c r="D198" s="1"/>
    </row>
    <row r="199" spans="2:4" x14ac:dyDescent="0.2">
      <c r="B199" s="1" t="str">
        <f>IF(Operations!A93="","",Operations!A93)</f>
        <v/>
      </c>
      <c r="C199" s="1" t="str">
        <f>IF(Materials!B93="","",Materials!B93)</f>
        <v>Scouting Drybeans</v>
      </c>
      <c r="D199" s="1"/>
    </row>
    <row r="200" spans="2:4" x14ac:dyDescent="0.2">
      <c r="B200" s="1" t="str">
        <f>IF(Operations!A94="","",Operations!A94)</f>
        <v/>
      </c>
      <c r="C200" s="1" t="str">
        <f>IF(Materials!B94="","",Materials!B94)</f>
        <v>Scouting Dryland Corn</v>
      </c>
      <c r="D200" s="1"/>
    </row>
    <row r="201" spans="2:4" x14ac:dyDescent="0.2">
      <c r="B201" s="1" t="str">
        <f>IF(Operations!A95="","",Operations!A95)</f>
        <v/>
      </c>
      <c r="C201" s="1" t="str">
        <f>IF(Materials!B95="","",Materials!B95)</f>
        <v>Scouting Dryland Soybeans</v>
      </c>
      <c r="D201" s="1"/>
    </row>
    <row r="202" spans="2:4" x14ac:dyDescent="0.2">
      <c r="B202" s="1" t="str">
        <f>IF(Operations!A96="","",Operations!A96)</f>
        <v/>
      </c>
      <c r="C202" s="1" t="str">
        <f>IF(Materials!B96="","",Materials!B96)</f>
        <v>Scouting Grain Sorghum</v>
      </c>
      <c r="D202" s="1"/>
    </row>
    <row r="203" spans="2:4" x14ac:dyDescent="0.2">
      <c r="B203" s="1" t="str">
        <f>IF(Operations!A97="","",Operations!A97)</f>
        <v/>
      </c>
      <c r="C203" s="1" t="str">
        <f>IF(Materials!B97="","",Materials!B97)</f>
        <v>Scouting Irrigated Corn</v>
      </c>
      <c r="D203" s="1"/>
    </row>
    <row r="204" spans="2:4" x14ac:dyDescent="0.2">
      <c r="B204" s="1" t="str">
        <f>IF(Operations!A98="","",Operations!A98)</f>
        <v/>
      </c>
      <c r="C204" s="1" t="str">
        <f>IF(Materials!B98="","",Materials!B98)</f>
        <v>Scouting Irrigated SB</v>
      </c>
      <c r="D204" s="1"/>
    </row>
    <row r="205" spans="2:4" x14ac:dyDescent="0.2">
      <c r="B205" s="1" t="str">
        <f>IF(Operations!A99="","",Operations!A99)</f>
        <v/>
      </c>
      <c r="C205" s="1" t="str">
        <f>IF(Materials!B99="","",Materials!B99)</f>
        <v>Scouting Sugar Beets</v>
      </c>
      <c r="D205" s="1"/>
    </row>
    <row r="206" spans="2:4" x14ac:dyDescent="0.2">
      <c r="B206" s="1" t="str">
        <f>IF(Operations!A100="","",Operations!A100)</f>
        <v/>
      </c>
      <c r="C206" s="1" t="str">
        <f>IF(Materials!B100="","",Materials!B100)</f>
        <v>Scouting Wheat</v>
      </c>
      <c r="D206" s="1"/>
    </row>
    <row r="207" spans="2:4" x14ac:dyDescent="0.2">
      <c r="B207" s="1" t="str">
        <f>IF(Operations!A103="","",Operations!A103)</f>
        <v/>
      </c>
      <c r="C207" s="1" t="str">
        <f>IF(Materials!B101="","",Materials!B101)</f>
        <v>Seeder-Packer</v>
      </c>
      <c r="D207" s="1"/>
    </row>
    <row r="208" spans="2:4" x14ac:dyDescent="0.2">
      <c r="C208" s="1" t="str">
        <f>IF(Materials!B102="","",Materials!B102)</f>
        <v>Select Max</v>
      </c>
    </row>
    <row r="209" spans="3:3" x14ac:dyDescent="0.2">
      <c r="C209" s="1" t="str">
        <f>IF(Materials!B103="","",Materials!B103)</f>
        <v>Sharpen</v>
      </c>
    </row>
    <row r="210" spans="3:3" x14ac:dyDescent="0.2">
      <c r="C210" s="1" t="str">
        <f>IF(Materials!B104="","",Materials!B104)</f>
        <v>Sorghum Safened/Insect</v>
      </c>
    </row>
    <row r="211" spans="3:3" x14ac:dyDescent="0.2">
      <c r="C211" s="1" t="str">
        <f>IF(Materials!B105="","",Materials!B105)</f>
        <v>Sorghum Sudan</v>
      </c>
    </row>
    <row r="212" spans="3:3" x14ac:dyDescent="0.2">
      <c r="C212" s="1" t="str">
        <f>IF(Materials!B106="","",Materials!B106)</f>
        <v>Spartan 4F</v>
      </c>
    </row>
    <row r="213" spans="3:3" x14ac:dyDescent="0.2">
      <c r="C213" s="1" t="str">
        <f>IF(Materials!B107="","",Materials!B107)</f>
        <v>Spirit</v>
      </c>
    </row>
    <row r="214" spans="3:3" x14ac:dyDescent="0.2">
      <c r="C214" s="1" t="str">
        <f>IF(Materials!B108="","",Materials!B108)</f>
        <v>Spray</v>
      </c>
    </row>
    <row r="215" spans="3:3" x14ac:dyDescent="0.2">
      <c r="C215" s="1" t="str">
        <f>IF(Materials!B109="","",Materials!B109)</f>
        <v>Status</v>
      </c>
    </row>
    <row r="216" spans="3:3" x14ac:dyDescent="0.2">
      <c r="C216" s="1" t="str">
        <f>IF(Materials!B110="","",Materials!B110)</f>
        <v>Stratego YLD</v>
      </c>
    </row>
    <row r="217" spans="3:3" x14ac:dyDescent="0.2">
      <c r="C217" s="1" t="str">
        <f>IF(Materials!B111="","",Materials!B111)</f>
        <v>Sugar Beets RR Poncho</v>
      </c>
    </row>
    <row r="218" spans="3:3" x14ac:dyDescent="0.2">
      <c r="C218" s="1" t="str">
        <f>IF(Materials!B112="","",Materials!B112)</f>
        <v>Sunflower</v>
      </c>
    </row>
    <row r="219" spans="3:3" x14ac:dyDescent="0.2">
      <c r="C219" s="1" t="str">
        <f>IF(Materials!B113="","",Materials!B113)</f>
        <v>Tilt</v>
      </c>
    </row>
    <row r="220" spans="3:3" x14ac:dyDescent="0.2">
      <c r="C220" s="1" t="str">
        <f>IF(Materials!B114="","",Materials!B114)</f>
        <v>Twine Lg Rd</v>
      </c>
    </row>
    <row r="221" spans="3:3" x14ac:dyDescent="0.2">
      <c r="C221" s="1" t="str">
        <f>IF(Materials!B115="","",Materials!B115)</f>
        <v>Twine Lg Sq</v>
      </c>
    </row>
    <row r="222" spans="3:3" x14ac:dyDescent="0.2">
      <c r="C222" s="1" t="str">
        <f>IF(Materials!B116="","",Materials!B116)</f>
        <v>Twine Sm Sq</v>
      </c>
    </row>
    <row r="223" spans="3:3" x14ac:dyDescent="0.2">
      <c r="C223" s="1" t="str">
        <f>IF(Materials!B117="","",Materials!B117)</f>
        <v>Uncomposted manure</v>
      </c>
    </row>
    <row r="224" spans="3:3" x14ac:dyDescent="0.2">
      <c r="C224" s="1" t="str">
        <f>IF(Materials!B118="","",Materials!B118)</f>
        <v>Valor XLT</v>
      </c>
    </row>
    <row r="225" spans="3:3" x14ac:dyDescent="0.2">
      <c r="C225" s="1" t="str">
        <f>IF(Materials!B119="","",Materials!B119)</f>
        <v>Velpar 75DF</v>
      </c>
    </row>
    <row r="226" spans="3:3" x14ac:dyDescent="0.2">
      <c r="C226" s="1" t="str">
        <f>IF(Materials!B120="","",Materials!B120)</f>
        <v>Vida</v>
      </c>
    </row>
    <row r="227" spans="3:3" x14ac:dyDescent="0.2">
      <c r="C227" s="1" t="str">
        <f>IF(Materials!B121="","",Materials!B121)</f>
        <v>Warrior II/Zeon</v>
      </c>
    </row>
    <row r="228" spans="3:3" x14ac:dyDescent="0.2">
      <c r="C228" s="1" t="str">
        <f>IF(Materials!B122="","",Materials!B122)</f>
        <v>Wheat</v>
      </c>
    </row>
    <row r="229" spans="3:3" x14ac:dyDescent="0.2">
      <c r="C229" s="1" t="str">
        <f>IF(Materials!B123="","",Materials!B123)</f>
        <v>Wheat (certified and treated)</v>
      </c>
    </row>
    <row r="230" spans="3:3" x14ac:dyDescent="0.2">
      <c r="C230" s="1" t="str">
        <f>IF(Materials!B124="","",Materials!B124)</f>
        <v/>
      </c>
    </row>
    <row r="231" spans="3:3" x14ac:dyDescent="0.2">
      <c r="C231" s="1" t="str">
        <f>IF(Materials!B125="","",Materials!B125)</f>
        <v/>
      </c>
    </row>
  </sheetData>
  <mergeCells count="43">
    <mergeCell ref="F64:G64"/>
    <mergeCell ref="C68:E68"/>
    <mergeCell ref="G68:H68"/>
    <mergeCell ref="G69:H69"/>
    <mergeCell ref="C54:E54"/>
    <mergeCell ref="C55:E55"/>
    <mergeCell ref="C56:E56"/>
    <mergeCell ref="C57:E57"/>
    <mergeCell ref="C58:E58"/>
    <mergeCell ref="C59:E59"/>
    <mergeCell ref="C53:E53"/>
    <mergeCell ref="C42:E42"/>
    <mergeCell ref="C43:E43"/>
    <mergeCell ref="C44:E44"/>
    <mergeCell ref="C45:E45"/>
    <mergeCell ref="C46:E46"/>
    <mergeCell ref="C47:E47"/>
    <mergeCell ref="C48:E48"/>
    <mergeCell ref="C49:E49"/>
    <mergeCell ref="C50:E50"/>
    <mergeCell ref="C51:E51"/>
    <mergeCell ref="C52:E52"/>
    <mergeCell ref="C41:E41"/>
    <mergeCell ref="F33:F34"/>
    <mergeCell ref="G33:G34"/>
    <mergeCell ref="H33:I33"/>
    <mergeCell ref="J33:J34"/>
    <mergeCell ref="C36:E36"/>
    <mergeCell ref="C37:E37"/>
    <mergeCell ref="C38:E38"/>
    <mergeCell ref="C39:E39"/>
    <mergeCell ref="C40:E40"/>
    <mergeCell ref="L33:L34"/>
    <mergeCell ref="C35:E35"/>
    <mergeCell ref="A5:L5"/>
    <mergeCell ref="B8:B9"/>
    <mergeCell ref="C8:C9"/>
    <mergeCell ref="E8:E9"/>
    <mergeCell ref="F8:F9"/>
    <mergeCell ref="G8:H8"/>
    <mergeCell ref="I8:J8"/>
    <mergeCell ref="K8:K9"/>
    <mergeCell ref="L8:L9"/>
  </mergeCells>
  <dataValidations count="7">
    <dataValidation type="list" allowBlank="1" showInputMessage="1" showErrorMessage="1" sqref="B35:B59">
      <formula1>$C$108:$C$231</formula1>
    </dataValidation>
    <dataValidation type="list" allowBlank="1" showInputMessage="1" showErrorMessage="1" sqref="B10:B29">
      <formula1>$B$108:$B$206</formula1>
    </dataValidation>
    <dataValidation type="list" allowBlank="1" showInputMessage="1" showErrorMessage="1" sqref="D10:D30">
      <formula1>$O$2:$O$4</formula1>
    </dataValidation>
    <dataValidation type="list" allowBlank="1" showInputMessage="1" showErrorMessage="1" sqref="C68:E68">
      <formula1>$F$108:$F$155</formula1>
    </dataValidation>
    <dataValidation type="list" allowBlank="1" showInputMessage="1" showErrorMessage="1" sqref="B30">
      <formula1>$B$108:$B$207</formula1>
    </dataValidation>
    <dataValidation type="list" allowBlank="1" showInputMessage="1" showErrorMessage="1" sqref="B60">
      <formula1>$C$108:$C$207</formula1>
    </dataValidation>
    <dataValidation type="list" allowBlank="1" showInputMessage="1" showErrorMessage="1" sqref="K6">
      <formula1>$K$108:$K$110</formula1>
    </dataValidation>
  </dataValidations>
  <pageMargins left="0.7" right="0.7" top="0.75" bottom="0.75"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3:J7"/>
  <sheetViews>
    <sheetView workbookViewId="0"/>
  </sheetViews>
  <sheetFormatPr defaultRowHeight="12.75" x14ac:dyDescent="0.2"/>
  <cols>
    <col min="1" max="16384" width="9.140625" style="20"/>
  </cols>
  <sheetData>
    <row r="3" spans="2:10" x14ac:dyDescent="0.2">
      <c r="B3" s="183" t="s">
        <v>284</v>
      </c>
      <c r="C3" s="184" t="s">
        <v>427</v>
      </c>
      <c r="D3" s="32">
        <f>IF(B3=0,"",'General Variables'!$B$4*VLOOKUP(B3,Operations[],10,FALSE)/VLOOKUP(B3,Operations[],9,FALSE)*LEFT(C3,2))</f>
        <v>1.2142857142857142</v>
      </c>
      <c r="E3" s="32">
        <f>IF(B3=0,0,IF(VLOOKUP(B3,Operations[],12,FALSE)=0,VLOOKUP(B3,Operations[],13,FALSE)*'General Variables'!$B$8,VLOOKUP(B3,Operations[],12,FALSE)*'General Variables'!$B$7)/VLOOKUP(B3,Operations[],9,FALSE)*LEFT(C3,2))</f>
        <v>0.61887175324675314</v>
      </c>
      <c r="F3" s="32">
        <f>IF(B3=0,0,VLOOKUP(VLOOKUP(B3,Operations[],11,FALSE),PowerUnits[],10,FALSE)/VLOOKUP(B3,Operations[],9,FALSE)*LEFT(C3,2))</f>
        <v>0.45469049999999994</v>
      </c>
      <c r="G3" s="32">
        <f>IF(B3=0,"",VLOOKUP($B3,Operations[],15,FALSE)*LEFT(C3,2))</f>
        <v>0.77807319788049112</v>
      </c>
      <c r="H3" s="32">
        <f>IF(B3=0,0,VLOOKUP(VLOOKUP(B3,Operations[],11,FALSE),PowerUnits[],16,FALSE)/VLOOKUP(B3,Operations[],9,FALSE)*LEFT(C3,2))</f>
        <v>1.5089550744893128</v>
      </c>
      <c r="I3" s="32">
        <f>IF(B3=0,"",VLOOKUP($B3,Operations[],21,FALSE)*LEFT(C3,2))</f>
        <v>0.49754862547150513</v>
      </c>
      <c r="J3" s="32">
        <f>SUM(D3:I3)</f>
        <v>5.072424865373776</v>
      </c>
    </row>
    <row r="4" spans="2:10" x14ac:dyDescent="0.2">
      <c r="B4" s="183" t="s">
        <v>284</v>
      </c>
      <c r="C4" s="184" t="s">
        <v>428</v>
      </c>
      <c r="D4" s="32">
        <f>IF(B4=0,"",'General Variables'!$B$4*VLOOKUP(B4,Operations[],10,FALSE)/VLOOKUP(B4,Operations[],9,FALSE)*LEFT(C4,3))</f>
        <v>1.4285714285714286</v>
      </c>
      <c r="E4" s="32">
        <f>IF(B4=0,0,IF(VLOOKUP(B4,Operations[],12,FALSE)=0,VLOOKUP(B4,Operations[],13,FALSE)*'General Variables'!$B$8,VLOOKUP(B4,Operations[],12,FALSE)*'General Variables'!$B$7)/VLOOKUP(B4,Operations[],9,FALSE)*LEFT(C4,3))</f>
        <v>0.7280844155844155</v>
      </c>
      <c r="F4" s="32">
        <f>IF(B4=0,0,VLOOKUP(VLOOKUP(B4,Operations[],11,FALSE),PowerUnits[],10,FALSE)/VLOOKUP(B4,Operations[],9,FALSE)*LEFT(C4,3))</f>
        <v>0.53492999999999991</v>
      </c>
      <c r="G4" s="32">
        <f>IF(B4=0,"",VLOOKUP($B4,Operations[],15,FALSE)*LEFT(C4,3))</f>
        <v>0.91538023280057779</v>
      </c>
      <c r="H4" s="32">
        <f>IF(B4=0,0,VLOOKUP(VLOOKUP(B4,Operations[],11,FALSE),PowerUnits[],16,FALSE)/VLOOKUP(B4,Operations[],9,FALSE)*LEFT(C4,3))</f>
        <v>1.7752412641050739</v>
      </c>
      <c r="I4" s="32">
        <f>IF(B4=0,"",VLOOKUP($B4,Operations[],21,FALSE)*LEFT(C4,3))</f>
        <v>0.58535132408412371</v>
      </c>
      <c r="J4" s="32">
        <f>SUM(D4:I4)</f>
        <v>5.9675586651456189</v>
      </c>
    </row>
    <row r="5" spans="2:10" x14ac:dyDescent="0.2">
      <c r="B5" s="183" t="s">
        <v>289</v>
      </c>
      <c r="C5" s="184" t="s">
        <v>426</v>
      </c>
      <c r="D5" s="32">
        <f>IF(B5=0,"",'General Variables'!$B$4*VLOOKUP(B5,Operations[],10,FALSE)/VLOOKUP(B5,Operations[],9,FALSE)*LEFT(C5,2))</f>
        <v>24.444444444444446</v>
      </c>
      <c r="E5" s="32"/>
      <c r="F5" s="32"/>
      <c r="G5" s="32"/>
      <c r="H5" s="32"/>
      <c r="I5" s="32"/>
      <c r="J5" s="32">
        <f>SUM(D5:I5)</f>
        <v>24.444444444444446</v>
      </c>
    </row>
    <row r="6" spans="2:10" x14ac:dyDescent="0.2">
      <c r="B6" s="183" t="s">
        <v>306</v>
      </c>
      <c r="C6" s="184" t="s">
        <v>425</v>
      </c>
      <c r="D6" s="32">
        <f>IF(B6=0,"",'General Variables'!$B$4*VLOOKUP(B6,Operations[],10,FALSE)/VLOOKUP(B6,Operations[],9,FALSE)*LEFT(C6,2))</f>
        <v>11.111111111111111</v>
      </c>
      <c r="E6" s="32">
        <f>IF(B6=0,0,IF(VLOOKUP(B6,Operations[],12,FALSE)=0,VLOOKUP(B6,Operations[],13,FALSE)*'General Variables'!$B$8,VLOOKUP(B6,Operations[],12,FALSE)*'General Variables'!$B$7)/VLOOKUP(B6,Operations[],9,FALSE)*LEFT(C6,2))</f>
        <v>42.471111111111114</v>
      </c>
      <c r="F6" s="32">
        <f>IF(B6=0,0,VLOOKUP(VLOOKUP(B6,Operations[],11,FALSE),PowerUnits[],10,FALSE)/VLOOKUP(B6,Operations[],9,FALSE)*LEFT(C6,2))</f>
        <v>4.4583778000896475</v>
      </c>
      <c r="G6" s="32">
        <f>IF(B6=0,"",VLOOKUP($B6,Operations[],15,FALSE)*LEFT(C6,2))</f>
        <v>23.977777777777813</v>
      </c>
      <c r="H6" s="32">
        <f>IF(B6=0,0,VLOOKUP(VLOOKUP(B6,Operations[],11,FALSE),PowerUnits[],16,FALSE)/VLOOKUP(B6,Operations[],9,FALSE)*LEFT(C6,2))</f>
        <v>8.0733018626593971</v>
      </c>
      <c r="I6" s="32">
        <f>IF(B6=0,"",VLOOKUP($B6,Operations[],21,FALSE)*LEFT(C6,2))</f>
        <v>14.342321776994936</v>
      </c>
      <c r="J6" s="32">
        <f>SUM(D6:I6)</f>
        <v>104.43400143974402</v>
      </c>
    </row>
    <row r="7" spans="2:10" x14ac:dyDescent="0.2">
      <c r="B7" s="183" t="s">
        <v>305</v>
      </c>
      <c r="C7" s="184" t="s">
        <v>429</v>
      </c>
      <c r="D7" s="32">
        <f>IF(B7=0,"",'General Variables'!$B$4*VLOOKUP(B7,Operations[],10,FALSE)/VLOOKUP(B7,Operations[],9,FALSE)*LEFT(C7,1))</f>
        <v>6.25</v>
      </c>
      <c r="E7" s="32">
        <f>IF(B7=0,0,IF(VLOOKUP(B7,Operations[],12,FALSE)=0,VLOOKUP(B7,Operations[],13,FALSE)*'General Variables'!$B$8,VLOOKUP(B7,Operations[],12,FALSE)*'General Variables'!$B$7)/VLOOKUP(B7,Operations[],9,FALSE)*LEFT(C7,1))</f>
        <v>62.416249999999991</v>
      </c>
      <c r="F7" s="32">
        <f>IF(B7=0,0,VLOOKUP(VLOOKUP(B7,Operations[],11,FALSE),PowerUnits[],10,FALSE)/VLOOKUP(B7,Operations[],9,FALSE)*LEFT(C7,1))</f>
        <v>2.9400000000000022</v>
      </c>
      <c r="G7" s="32">
        <f>IF(B7=0,"",VLOOKUP($B7,Operations[],15,FALSE)*LEFT(C7,1))</f>
        <v>13.48750000000002</v>
      </c>
      <c r="H7" s="32">
        <f>IF(B7=0,0,VLOOKUP(VLOOKUP(B7,Operations[],11,FALSE),PowerUnits[],16,FALSE)/VLOOKUP(B7,Operations[],9,FALSE)*LEFT(C7,1))</f>
        <v>4.2565044494998219</v>
      </c>
      <c r="I7" s="32">
        <f>IF(B7=0,"",VLOOKUP($B7,Operations[],21,FALSE)*LEFT(C7,1))</f>
        <v>8.0675559995596515</v>
      </c>
      <c r="J7" s="32">
        <f>SUM(D7:I7)</f>
        <v>97.417810449059488</v>
      </c>
    </row>
  </sheetData>
  <dataValidations count="2">
    <dataValidation type="list" allowBlank="1" showInputMessage="1" showErrorMessage="1" sqref="B3">
      <formula1>$B$99:$B$198</formula1>
    </dataValidation>
    <dataValidation type="list" allowBlank="1" showInputMessage="1" showErrorMessage="1" sqref="B4:B7">
      <formula1>$B$100:$B$199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V34"/>
  <sheetViews>
    <sheetView workbookViewId="0"/>
  </sheetViews>
  <sheetFormatPr defaultRowHeight="12.75" x14ac:dyDescent="0.2"/>
  <cols>
    <col min="1" max="1" width="9.140625" style="2"/>
    <col min="2" max="2" width="10.5703125" style="2" customWidth="1"/>
    <col min="3" max="3" width="12" style="2" customWidth="1"/>
    <col min="4" max="4" width="11.42578125" style="2" customWidth="1"/>
    <col min="5" max="5" width="11.28515625" style="2" customWidth="1"/>
    <col min="6" max="6" width="11.5703125" style="2" customWidth="1"/>
    <col min="7" max="7" width="11.42578125" style="2" customWidth="1"/>
    <col min="8" max="8" width="15" style="2" customWidth="1"/>
    <col min="9" max="9" width="12" style="2" customWidth="1"/>
    <col min="10" max="10" width="14.85546875" style="2" customWidth="1"/>
    <col min="11" max="16384" width="9.140625" style="2"/>
  </cols>
  <sheetData>
    <row r="1" spans="12:22" x14ac:dyDescent="0.2">
      <c r="L1" s="2" t="s">
        <v>382</v>
      </c>
      <c r="M1" s="2" t="s">
        <v>383</v>
      </c>
      <c r="N1" s="2" t="s">
        <v>384</v>
      </c>
      <c r="O1" s="2" t="s">
        <v>385</v>
      </c>
      <c r="P1" s="2" t="s">
        <v>386</v>
      </c>
      <c r="Q1" s="2" t="s">
        <v>387</v>
      </c>
      <c r="R1" s="2" t="s">
        <v>388</v>
      </c>
      <c r="S1" s="2" t="s">
        <v>389</v>
      </c>
      <c r="T1" s="2" t="s">
        <v>390</v>
      </c>
      <c r="U1" s="2" t="s">
        <v>391</v>
      </c>
    </row>
    <row r="2" spans="12:22" x14ac:dyDescent="0.2">
      <c r="L2" s="2">
        <v>1</v>
      </c>
      <c r="M2" s="2">
        <f t="shared" ref="M2:U21" si="0">(B$33-B$34*$L2^0.5)^2</f>
        <v>0.93508899999999973</v>
      </c>
      <c r="N2" s="2">
        <f t="shared" si="0"/>
        <v>0.47472100000000006</v>
      </c>
      <c r="O2" s="2">
        <f t="shared" si="0"/>
        <v>0.56400099999999997</v>
      </c>
      <c r="P2" s="2">
        <f t="shared" si="0"/>
        <v>0.4900000000000001</v>
      </c>
      <c r="Q2" s="2">
        <f t="shared" si="0"/>
        <v>0.47196899999999992</v>
      </c>
      <c r="R2" s="2">
        <f t="shared" si="0"/>
        <v>0.60996100000000009</v>
      </c>
      <c r="S2" s="2">
        <f t="shared" si="0"/>
        <v>0.52272900000000011</v>
      </c>
      <c r="T2" s="2">
        <f t="shared" si="0"/>
        <v>0.64802500000000007</v>
      </c>
      <c r="U2" s="2">
        <f t="shared" si="0"/>
        <v>0.69222399999999995</v>
      </c>
      <c r="V2" s="12"/>
    </row>
    <row r="3" spans="12:22" x14ac:dyDescent="0.2">
      <c r="L3" s="2">
        <f>1+L2</f>
        <v>2</v>
      </c>
      <c r="M3" s="2">
        <f t="shared" si="0"/>
        <v>0.80758038163990642</v>
      </c>
      <c r="N3" s="2">
        <f t="shared" si="0"/>
        <v>0.43724850927735592</v>
      </c>
      <c r="O3" s="2">
        <f t="shared" si="0"/>
        <v>0.50291418906134078</v>
      </c>
      <c r="P3" s="2">
        <f t="shared" si="0"/>
        <v>0.4386499871336445</v>
      </c>
      <c r="Q3" s="2">
        <f t="shared" si="0"/>
        <v>0.44338965987880286</v>
      </c>
      <c r="R3" s="2">
        <f t="shared" si="0"/>
        <v>0.54086685750362595</v>
      </c>
      <c r="S3" s="2">
        <f t="shared" si="0"/>
        <v>0.48567594563681826</v>
      </c>
      <c r="T3" s="2">
        <f t="shared" si="0"/>
        <v>0.59705191021023085</v>
      </c>
      <c r="U3" s="2">
        <f t="shared" si="0"/>
        <v>0.61783104757144203</v>
      </c>
      <c r="V3" s="12"/>
    </row>
    <row r="4" spans="12:22" x14ac:dyDescent="0.2">
      <c r="L4" s="2">
        <f t="shared" ref="L4:L12" si="1">1+L3</f>
        <v>3</v>
      </c>
      <c r="M4" s="2">
        <f t="shared" si="0"/>
        <v>0.71607410032456997</v>
      </c>
      <c r="N4" s="2">
        <f t="shared" si="0"/>
        <v>0.40953932499004247</v>
      </c>
      <c r="O4" s="2">
        <f t="shared" si="0"/>
        <v>0.45841412781416585</v>
      </c>
      <c r="P4" s="2">
        <f t="shared" si="0"/>
        <v>0.40117450164076934</v>
      </c>
      <c r="Q4" s="2">
        <f t="shared" si="0"/>
        <v>0.42206514340944518</v>
      </c>
      <c r="R4" s="2">
        <f t="shared" si="0"/>
        <v>0.49066440070034867</v>
      </c>
      <c r="S4" s="2">
        <f t="shared" si="0"/>
        <v>0.45816761622160873</v>
      </c>
      <c r="T4" s="2">
        <f t="shared" si="0"/>
        <v>0.55935446535900235</v>
      </c>
      <c r="U4" s="2">
        <f t="shared" si="0"/>
        <v>0.56361409163868581</v>
      </c>
      <c r="V4" s="12"/>
    </row>
    <row r="5" spans="12:22" x14ac:dyDescent="0.2">
      <c r="L5" s="2">
        <f t="shared" si="1"/>
        <v>4</v>
      </c>
      <c r="M5" s="2">
        <f t="shared" si="0"/>
        <v>0.64320399999999966</v>
      </c>
      <c r="N5" s="2">
        <f t="shared" si="0"/>
        <v>0.38688400000000001</v>
      </c>
      <c r="O5" s="2">
        <f t="shared" si="0"/>
        <v>0.42249999999999988</v>
      </c>
      <c r="P5" s="2">
        <f t="shared" si="0"/>
        <v>0.37088099999999996</v>
      </c>
      <c r="Q5" s="2">
        <f t="shared" si="0"/>
        <v>0.40449600000000002</v>
      </c>
      <c r="R5" s="2">
        <f t="shared" si="0"/>
        <v>0.45024100000000006</v>
      </c>
      <c r="S5" s="2">
        <f t="shared" si="0"/>
        <v>0.43560000000000004</v>
      </c>
      <c r="T5" s="2">
        <f t="shared" si="0"/>
        <v>0.52852899999999992</v>
      </c>
      <c r="U5" s="2">
        <f t="shared" si="0"/>
        <v>0.519841</v>
      </c>
      <c r="V5" s="12"/>
    </row>
    <row r="6" spans="12:22" x14ac:dyDescent="0.2">
      <c r="L6" s="2">
        <f t="shared" si="1"/>
        <v>5</v>
      </c>
      <c r="M6" s="2">
        <f t="shared" si="0"/>
        <v>0.58224344632517844</v>
      </c>
      <c r="N6" s="2">
        <f t="shared" si="0"/>
        <v>0.36745836960736133</v>
      </c>
      <c r="O6" s="2">
        <f t="shared" si="0"/>
        <v>0.39207275680037612</v>
      </c>
      <c r="P6" s="2">
        <f t="shared" si="0"/>
        <v>0.34517718182317542</v>
      </c>
      <c r="Q6" s="2">
        <f t="shared" si="0"/>
        <v>0.38932674692572572</v>
      </c>
      <c r="R6" s="2">
        <f t="shared" si="0"/>
        <v>0.41606695505049113</v>
      </c>
      <c r="S6" s="2">
        <f t="shared" si="0"/>
        <v>0.4161897717803309</v>
      </c>
      <c r="T6" s="2">
        <f t="shared" si="0"/>
        <v>0.50209510823535897</v>
      </c>
      <c r="U6" s="2">
        <f t="shared" si="0"/>
        <v>0.4827421131823289</v>
      </c>
      <c r="V6" s="12"/>
    </row>
    <row r="7" spans="12:22" x14ac:dyDescent="0.2">
      <c r="L7" s="2">
        <f t="shared" si="1"/>
        <v>6</v>
      </c>
      <c r="M7" s="2">
        <f t="shared" si="0"/>
        <v>0.52974261168591585</v>
      </c>
      <c r="N7" s="2">
        <f t="shared" si="0"/>
        <v>0.35032689109709297</v>
      </c>
      <c r="O7" s="2">
        <f t="shared" si="0"/>
        <v>0.36554301730804389</v>
      </c>
      <c r="P7" s="2">
        <f t="shared" si="0"/>
        <v>0.32273355764944822</v>
      </c>
      <c r="Q7" s="2">
        <f t="shared" si="0"/>
        <v>0.3758622101222534</v>
      </c>
      <c r="R7" s="2">
        <f t="shared" si="0"/>
        <v>0.38633202061964145</v>
      </c>
      <c r="S7" s="2">
        <f t="shared" si="0"/>
        <v>0.39902233383372521</v>
      </c>
      <c r="T7" s="2">
        <f t="shared" si="0"/>
        <v>0.47878068691110282</v>
      </c>
      <c r="U7" s="2">
        <f t="shared" si="0"/>
        <v>0.45038412030731279</v>
      </c>
      <c r="V7" s="12"/>
    </row>
    <row r="8" spans="12:22" x14ac:dyDescent="0.2">
      <c r="L8" s="2">
        <f t="shared" si="1"/>
        <v>7</v>
      </c>
      <c r="M8" s="2">
        <f t="shared" si="0"/>
        <v>0.48365214023871145</v>
      </c>
      <c r="N8" s="2">
        <f t="shared" si="0"/>
        <v>0.33493380918391269</v>
      </c>
      <c r="O8" s="2">
        <f t="shared" si="0"/>
        <v>0.34196661636053971</v>
      </c>
      <c r="P8" s="2">
        <f t="shared" si="0"/>
        <v>0.3027603497565195</v>
      </c>
      <c r="Q8" s="2">
        <f t="shared" si="0"/>
        <v>0.36368942430830187</v>
      </c>
      <c r="R8" s="2">
        <f t="shared" si="0"/>
        <v>0.35996082800511897</v>
      </c>
      <c r="S8" s="2">
        <f t="shared" si="0"/>
        <v>0.38355437315740726</v>
      </c>
      <c r="T8" s="2">
        <f t="shared" si="0"/>
        <v>0.45783004840347474</v>
      </c>
      <c r="U8" s="2">
        <f t="shared" si="0"/>
        <v>0.42161854603387217</v>
      </c>
      <c r="V8" s="12"/>
    </row>
    <row r="9" spans="12:22" x14ac:dyDescent="0.2">
      <c r="L9" s="2">
        <f t="shared" si="1"/>
        <v>8</v>
      </c>
      <c r="M9" s="2">
        <f t="shared" si="0"/>
        <v>0.44263676327981305</v>
      </c>
      <c r="N9" s="2">
        <f t="shared" si="0"/>
        <v>0.320917018554712</v>
      </c>
      <c r="O9" s="2">
        <f t="shared" si="0"/>
        <v>0.32072837812268157</v>
      </c>
      <c r="P9" s="2">
        <f t="shared" si="0"/>
        <v>0.28474297426728906</v>
      </c>
      <c r="Q9" s="2">
        <f t="shared" si="0"/>
        <v>0.35253931975760572</v>
      </c>
      <c r="R9" s="2">
        <f t="shared" si="0"/>
        <v>0.33625271500725185</v>
      </c>
      <c r="S9" s="2">
        <f t="shared" si="0"/>
        <v>0.36943189127363629</v>
      </c>
      <c r="T9" s="2">
        <f t="shared" si="0"/>
        <v>0.43875082042046182</v>
      </c>
      <c r="U9" s="2">
        <f t="shared" si="0"/>
        <v>0.39569709514288404</v>
      </c>
      <c r="V9" s="12"/>
    </row>
    <row r="10" spans="12:22" x14ac:dyDescent="0.2">
      <c r="L10" s="2">
        <f t="shared" si="1"/>
        <v>9</v>
      </c>
      <c r="M10" s="2">
        <f t="shared" si="0"/>
        <v>0.40576899999999988</v>
      </c>
      <c r="N10" s="2">
        <f t="shared" si="0"/>
        <v>0.30802499999999994</v>
      </c>
      <c r="O10" s="2">
        <f t="shared" si="0"/>
        <v>0.30140099999999992</v>
      </c>
      <c r="P10" s="2">
        <f t="shared" si="0"/>
        <v>0.26832400000000001</v>
      </c>
      <c r="Q10" s="2">
        <f t="shared" si="0"/>
        <v>0.34222499999999995</v>
      </c>
      <c r="R10" s="2">
        <f t="shared" si="0"/>
        <v>0.31472099999999992</v>
      </c>
      <c r="S10" s="2">
        <f t="shared" si="0"/>
        <v>0.35640899999999998</v>
      </c>
      <c r="T10" s="2">
        <f t="shared" si="0"/>
        <v>0.42120100000000005</v>
      </c>
      <c r="U10" s="2">
        <f t="shared" si="0"/>
        <v>0.37209999999999988</v>
      </c>
      <c r="V10" s="12"/>
    </row>
    <row r="11" spans="12:22" x14ac:dyDescent="0.2">
      <c r="L11" s="2">
        <f t="shared" si="1"/>
        <v>10</v>
      </c>
      <c r="M11" s="2">
        <f t="shared" si="0"/>
        <v>0.37237355726750004</v>
      </c>
      <c r="N11" s="2">
        <f t="shared" si="0"/>
        <v>0.2960746239143025</v>
      </c>
      <c r="O11" s="2">
        <f t="shared" si="0"/>
        <v>0.28367336557438111</v>
      </c>
      <c r="P11" s="2">
        <f t="shared" si="0"/>
        <v>0.25324318348683983</v>
      </c>
      <c r="Q11" s="2">
        <f t="shared" si="0"/>
        <v>0.33261038685316513</v>
      </c>
      <c r="R11" s="2">
        <f t="shared" si="0"/>
        <v>0.29501133305379423</v>
      </c>
      <c r="S11" s="2">
        <f t="shared" si="0"/>
        <v>0.3443066696475644</v>
      </c>
      <c r="T11" s="2">
        <f t="shared" si="0"/>
        <v>0.40493157686712605</v>
      </c>
      <c r="U11" s="2">
        <f t="shared" si="0"/>
        <v>0.35044882095439045</v>
      </c>
      <c r="V11" s="12"/>
    </row>
    <row r="12" spans="12:22" x14ac:dyDescent="0.2">
      <c r="L12" s="2">
        <f t="shared" si="1"/>
        <v>11</v>
      </c>
      <c r="M12" s="2">
        <f t="shared" si="0"/>
        <v>0.34194064331483676</v>
      </c>
      <c r="N12" s="2">
        <f t="shared" si="0"/>
        <v>0.28492764223783656</v>
      </c>
      <c r="O12" s="2">
        <f t="shared" si="0"/>
        <v>0.26731060708067417</v>
      </c>
      <c r="P12" s="2">
        <f t="shared" si="0"/>
        <v>0.23930406193085599</v>
      </c>
      <c r="Q12" s="2">
        <f t="shared" si="0"/>
        <v>0.32359275228120699</v>
      </c>
      <c r="R12" s="2">
        <f t="shared" si="0"/>
        <v>0.27685620859453458</v>
      </c>
      <c r="S12" s="2">
        <f t="shared" si="0"/>
        <v>0.33298974726236269</v>
      </c>
      <c r="T12" s="2">
        <f t="shared" si="0"/>
        <v>0.38975456837812444</v>
      </c>
      <c r="U12" s="2">
        <f t="shared" si="0"/>
        <v>0.33045786663825838</v>
      </c>
      <c r="V12" s="12"/>
    </row>
    <row r="13" spans="12:22" x14ac:dyDescent="0.2">
      <c r="L13" s="2">
        <f>1+L12</f>
        <v>12</v>
      </c>
      <c r="M13" s="2">
        <f t="shared" si="0"/>
        <v>0.31407420064914032</v>
      </c>
      <c r="N13" s="2">
        <f t="shared" si="0"/>
        <v>0.27447664998008492</v>
      </c>
      <c r="O13" s="2">
        <f t="shared" si="0"/>
        <v>0.25213025562833186</v>
      </c>
      <c r="P13" s="2">
        <f t="shared" si="0"/>
        <v>0.22635400328153865</v>
      </c>
      <c r="Q13" s="2">
        <f t="shared" si="0"/>
        <v>0.3150922868188904</v>
      </c>
      <c r="R13" s="2">
        <f t="shared" si="0"/>
        <v>0.26004780140069728</v>
      </c>
      <c r="S13" s="2">
        <f t="shared" si="0"/>
        <v>0.32235323244321745</v>
      </c>
      <c r="T13" s="2">
        <f t="shared" si="0"/>
        <v>0.37552393071800461</v>
      </c>
      <c r="U13" s="2">
        <f t="shared" si="0"/>
        <v>0.3119051832773716</v>
      </c>
      <c r="V13" s="12"/>
    </row>
    <row r="14" spans="12:22" x14ac:dyDescent="0.2">
      <c r="L14" s="2">
        <f t="shared" ref="L14:L19" si="2">1+L13</f>
        <v>13</v>
      </c>
      <c r="M14" s="2">
        <f t="shared" si="0"/>
        <v>0.28845926553767204</v>
      </c>
      <c r="N14" s="2">
        <f t="shared" si="0"/>
        <v>0.26463623359039606</v>
      </c>
      <c r="O14" s="2">
        <f t="shared" si="0"/>
        <v>0.23798720328754555</v>
      </c>
      <c r="P14" s="2">
        <f t="shared" si="0"/>
        <v>0.21427162728165322</v>
      </c>
      <c r="Q14" s="2">
        <f t="shared" si="0"/>
        <v>0.30704552218817283</v>
      </c>
      <c r="R14" s="2">
        <f t="shared" si="0"/>
        <v>0.24442083898354883</v>
      </c>
      <c r="S14" s="2">
        <f t="shared" si="0"/>
        <v>0.31231362388314837</v>
      </c>
      <c r="T14" s="2">
        <f t="shared" si="0"/>
        <v>0.36212352290738653</v>
      </c>
      <c r="U14" s="2">
        <f t="shared" si="0"/>
        <v>0.29461426268671564</v>
      </c>
      <c r="V14" s="12"/>
    </row>
    <row r="15" spans="12:22" x14ac:dyDescent="0.2">
      <c r="L15" s="2">
        <f t="shared" si="2"/>
        <v>14</v>
      </c>
      <c r="M15" s="2">
        <f t="shared" si="0"/>
        <v>0.26484046659672628</v>
      </c>
      <c r="N15" s="2">
        <f t="shared" si="0"/>
        <v>0.25533714009025266</v>
      </c>
      <c r="O15" s="2">
        <f t="shared" si="0"/>
        <v>0.22476379710665753</v>
      </c>
      <c r="P15" s="2">
        <f t="shared" si="0"/>
        <v>0.20295851928524988</v>
      </c>
      <c r="Q15" s="2">
        <f t="shared" si="0"/>
        <v>0.29940099855320479</v>
      </c>
      <c r="R15" s="2">
        <f t="shared" si="0"/>
        <v>0.22984131904457203</v>
      </c>
      <c r="S15" s="2">
        <f t="shared" si="0"/>
        <v>0.30280321904345592</v>
      </c>
      <c r="T15" s="2">
        <f t="shared" si="0"/>
        <v>0.34945917828666312</v>
      </c>
      <c r="U15" s="2">
        <f t="shared" si="0"/>
        <v>0.27844199270842246</v>
      </c>
      <c r="V15" s="12"/>
    </row>
    <row r="16" spans="12:22" x14ac:dyDescent="0.2">
      <c r="L16" s="2">
        <f t="shared" si="2"/>
        <v>15</v>
      </c>
      <c r="M16" s="2">
        <f t="shared" si="0"/>
        <v>0.2430073411907572</v>
      </c>
      <c r="N16" s="2">
        <f t="shared" si="0"/>
        <v>0.24652229509580381</v>
      </c>
      <c r="O16" s="2">
        <f t="shared" si="0"/>
        <v>0.21236307418431866</v>
      </c>
      <c r="P16" s="2">
        <f t="shared" si="0"/>
        <v>0.19233357151328787</v>
      </c>
      <c r="Q16" s="2">
        <f t="shared" si="0"/>
        <v>0.29211630563089042</v>
      </c>
      <c r="R16" s="2">
        <f t="shared" si="0"/>
        <v>0.21619880447642217</v>
      </c>
      <c r="S16" s="2">
        <f t="shared" si="0"/>
        <v>0.29376622132500235</v>
      </c>
      <c r="T16" s="2">
        <f t="shared" si="0"/>
        <v>0.33745329002662078</v>
      </c>
      <c r="U16" s="2">
        <f t="shared" si="0"/>
        <v>0.26327042840486203</v>
      </c>
      <c r="V16" s="12"/>
    </row>
    <row r="17" spans="2:22" x14ac:dyDescent="0.2">
      <c r="L17" s="2">
        <f t="shared" si="2"/>
        <v>16</v>
      </c>
      <c r="M17" s="2">
        <f t="shared" si="0"/>
        <v>0.22278399999999987</v>
      </c>
      <c r="N17" s="2">
        <f t="shared" si="0"/>
        <v>0.23814399999999999</v>
      </c>
      <c r="O17" s="2">
        <f t="shared" si="0"/>
        <v>0.20070399999999997</v>
      </c>
      <c r="P17" s="2">
        <f t="shared" si="0"/>
        <v>0.18232900000000005</v>
      </c>
      <c r="Q17" s="2">
        <f t="shared" si="0"/>
        <v>0.28515600000000002</v>
      </c>
      <c r="R17" s="2">
        <f t="shared" si="0"/>
        <v>0.203401</v>
      </c>
      <c r="S17" s="2">
        <f t="shared" si="0"/>
        <v>0.28515600000000002</v>
      </c>
      <c r="T17" s="2">
        <f t="shared" si="0"/>
        <v>0.32604099999999997</v>
      </c>
      <c r="U17" s="2">
        <f t="shared" si="0"/>
        <v>0.24900099999999994</v>
      </c>
      <c r="V17" s="12"/>
    </row>
    <row r="18" spans="2:22" x14ac:dyDescent="0.2">
      <c r="L18" s="2">
        <f t="shared" si="2"/>
        <v>17</v>
      </c>
      <c r="M18" s="2">
        <f t="shared" si="0"/>
        <v>0.20402166249426656</v>
      </c>
      <c r="N18" s="2">
        <f t="shared" si="0"/>
        <v>0.23016190770242853</v>
      </c>
      <c r="O18" s="2">
        <f t="shared" si="0"/>
        <v>0.18971802940869809</v>
      </c>
      <c r="P18" s="2">
        <f t="shared" si="0"/>
        <v>0.17288746792483037</v>
      </c>
      <c r="Q18" s="2">
        <f t="shared" si="0"/>
        <v>0.27849010092600496</v>
      </c>
      <c r="R18" s="2">
        <f t="shared" si="0"/>
        <v>0.19136983526642617</v>
      </c>
      <c r="S18" s="2">
        <f t="shared" si="0"/>
        <v>0.27693311126132947</v>
      </c>
      <c r="T18" s="2">
        <f t="shared" si="0"/>
        <v>0.3151674462824185</v>
      </c>
      <c r="U18" s="2">
        <f t="shared" si="0"/>
        <v>0.23555032969944517</v>
      </c>
      <c r="V18" s="12"/>
    </row>
    <row r="19" spans="2:22" x14ac:dyDescent="0.2">
      <c r="L19" s="2">
        <f t="shared" si="2"/>
        <v>18</v>
      </c>
      <c r="M19" s="2">
        <f t="shared" si="0"/>
        <v>0.18659314491971973</v>
      </c>
      <c r="N19" s="2">
        <f t="shared" si="0"/>
        <v>0.22254152783206796</v>
      </c>
      <c r="O19" s="2">
        <f t="shared" si="0"/>
        <v>0.17934656718402256</v>
      </c>
      <c r="P19" s="2">
        <f t="shared" si="0"/>
        <v>0.16395996140093352</v>
      </c>
      <c r="Q19" s="2">
        <f t="shared" si="0"/>
        <v>0.27209297963640872</v>
      </c>
      <c r="R19" s="2">
        <f t="shared" si="0"/>
        <v>0.18003857251087776</v>
      </c>
      <c r="S19" s="2">
        <f t="shared" si="0"/>
        <v>0.26906383691045449</v>
      </c>
      <c r="T19" s="2">
        <f t="shared" si="0"/>
        <v>0.30478573063069264</v>
      </c>
      <c r="U19" s="2">
        <f t="shared" si="0"/>
        <v>0.22284714271432615</v>
      </c>
      <c r="V19" s="12"/>
    </row>
    <row r="20" spans="2:22" x14ac:dyDescent="0.2">
      <c r="L20" s="2">
        <f>1+L19</f>
        <v>19</v>
      </c>
      <c r="M20" s="2">
        <f t="shared" si="0"/>
        <v>0.17038871065094577</v>
      </c>
      <c r="N20" s="2">
        <f t="shared" si="0"/>
        <v>0.21525310142355558</v>
      </c>
      <c r="O20" s="2">
        <f t="shared" si="0"/>
        <v>0.16953905622087587</v>
      </c>
      <c r="P20" s="2">
        <f t="shared" si="0"/>
        <v>0.15550419028999754</v>
      </c>
      <c r="Q20" s="2">
        <f t="shared" si="0"/>
        <v>0.26594252312603217</v>
      </c>
      <c r="R20" s="2">
        <f t="shared" si="0"/>
        <v>0.16934962908715717</v>
      </c>
      <c r="S20" s="2">
        <f t="shared" si="0"/>
        <v>0.26151908422750586</v>
      </c>
      <c r="T20" s="2">
        <f t="shared" si="0"/>
        <v>0.29485538832515923</v>
      </c>
      <c r="U20" s="2">
        <f t="shared" si="0"/>
        <v>0.21082994176553407</v>
      </c>
      <c r="V20" s="12"/>
    </row>
    <row r="21" spans="2:22" x14ac:dyDescent="0.2">
      <c r="L21" s="2">
        <f>1+L20</f>
        <v>20</v>
      </c>
      <c r="M21" s="2">
        <f t="shared" si="0"/>
        <v>0.15531289265035694</v>
      </c>
      <c r="N21" s="2">
        <f t="shared" si="0"/>
        <v>0.20827073921472258</v>
      </c>
      <c r="O21" s="2">
        <f t="shared" si="0"/>
        <v>0.16025151360075235</v>
      </c>
      <c r="P21" s="2">
        <f t="shared" si="0"/>
        <v>0.14748336364635059</v>
      </c>
      <c r="Q21" s="2">
        <f t="shared" si="0"/>
        <v>0.26001949385145162</v>
      </c>
      <c r="R21" s="2">
        <f t="shared" si="0"/>
        <v>0.15925291010098244</v>
      </c>
      <c r="S21" s="2">
        <f t="shared" si="0"/>
        <v>0.25427354356066173</v>
      </c>
      <c r="T21" s="2">
        <f t="shared" si="0"/>
        <v>0.28534121647071786</v>
      </c>
      <c r="U21" s="2">
        <f t="shared" si="0"/>
        <v>0.19944522636465797</v>
      </c>
      <c r="V21" s="12"/>
    </row>
    <row r="31" spans="2:22" ht="47.25" x14ac:dyDescent="0.25">
      <c r="B31" s="14" t="s">
        <v>226</v>
      </c>
      <c r="C31" s="15" t="s">
        <v>226</v>
      </c>
      <c r="D31" s="16" t="s">
        <v>226</v>
      </c>
      <c r="E31" s="15" t="s">
        <v>226</v>
      </c>
      <c r="F31" s="16" t="s">
        <v>240</v>
      </c>
      <c r="G31" s="15" t="s">
        <v>240</v>
      </c>
      <c r="H31" s="16" t="s">
        <v>394</v>
      </c>
      <c r="I31" s="15" t="s">
        <v>394</v>
      </c>
      <c r="J31" s="16" t="s">
        <v>394</v>
      </c>
      <c r="K31" s="15" t="s">
        <v>202</v>
      </c>
    </row>
    <row r="32" spans="2:22" ht="83.25" customHeight="1" x14ac:dyDescent="0.25">
      <c r="B32" s="17" t="s">
        <v>227</v>
      </c>
      <c r="C32" s="18" t="s">
        <v>231</v>
      </c>
      <c r="D32" s="19" t="s">
        <v>234</v>
      </c>
      <c r="E32" s="18" t="s">
        <v>237</v>
      </c>
      <c r="F32" s="19" t="s">
        <v>241</v>
      </c>
      <c r="G32" s="18" t="s">
        <v>244</v>
      </c>
      <c r="H32" s="19" t="s">
        <v>248</v>
      </c>
      <c r="I32" s="18" t="s">
        <v>252</v>
      </c>
      <c r="J32" s="19" t="s">
        <v>256</v>
      </c>
      <c r="K32" s="18" t="s">
        <v>381</v>
      </c>
    </row>
    <row r="33" spans="1:10" ht="15.75" x14ac:dyDescent="0.25">
      <c r="A33" s="2" t="s">
        <v>392</v>
      </c>
      <c r="B33" s="13" t="s">
        <v>228</v>
      </c>
      <c r="C33" s="7" t="s">
        <v>232</v>
      </c>
      <c r="D33" s="8" t="s">
        <v>235</v>
      </c>
      <c r="E33" s="7" t="s">
        <v>238</v>
      </c>
      <c r="F33" s="8" t="s">
        <v>242</v>
      </c>
      <c r="G33" s="7" t="s">
        <v>245</v>
      </c>
      <c r="H33" s="8" t="s">
        <v>249</v>
      </c>
      <c r="I33" s="7" t="s">
        <v>253</v>
      </c>
      <c r="J33" s="8" t="s">
        <v>257</v>
      </c>
    </row>
    <row r="34" spans="1:10" ht="15.75" x14ac:dyDescent="0.25">
      <c r="A34" s="2" t="s">
        <v>393</v>
      </c>
      <c r="B34" s="13" t="s">
        <v>229</v>
      </c>
      <c r="C34" s="7" t="s">
        <v>233</v>
      </c>
      <c r="D34" s="8" t="s">
        <v>236</v>
      </c>
      <c r="E34" s="7" t="s">
        <v>239</v>
      </c>
      <c r="F34" s="8" t="s">
        <v>243</v>
      </c>
      <c r="G34" s="7" t="s">
        <v>246</v>
      </c>
      <c r="H34" s="8" t="s">
        <v>250</v>
      </c>
      <c r="I34" s="7" t="s">
        <v>254</v>
      </c>
      <c r="J34" s="8" t="s">
        <v>258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Title</vt:lpstr>
      <vt:lpstr>General Variables</vt:lpstr>
      <vt:lpstr>Power Units</vt:lpstr>
      <vt:lpstr>Operations</vt:lpstr>
      <vt:lpstr>Price Check</vt:lpstr>
      <vt:lpstr>Materials</vt:lpstr>
      <vt:lpstr>5-Alfalfa</vt:lpstr>
      <vt:lpstr>Formulas</vt:lpstr>
      <vt:lpstr>Depreciation Graph</vt:lpstr>
      <vt:lpstr>CropInsurance</vt:lpstr>
      <vt:lpstr>ImpDepLookup</vt:lpstr>
      <vt:lpstr>pd</vt:lpstr>
      <vt:lpstr>'5-Alfalfa'!Print_Area</vt:lpstr>
      <vt:lpstr>'General Variables'!Print_Area</vt:lpstr>
      <vt:lpstr>Materials!Print_Area</vt:lpstr>
      <vt:lpstr>Operations!Print_Area</vt:lpstr>
      <vt:lpstr>'Price Check'!Print_Area</vt:lpstr>
      <vt:lpstr>Title!Print_Area</vt:lpstr>
      <vt:lpstr>'Depreciation Graph'!PwrDepreciation</vt:lpstr>
      <vt:lpstr>'Price Check'!PwrDepreciation</vt:lpstr>
      <vt:lpstr>PwrDepreciation</vt:lpstr>
      <vt:lpstr>PwrUnit</vt:lpstr>
      <vt:lpstr>'Price Check'!RETable</vt:lpstr>
      <vt:lpstr>RETable</vt:lpstr>
      <vt:lpstr>REValue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2014-10-30T15:38:39Z</cp:lastPrinted>
  <dcterms:created xsi:type="dcterms:W3CDTF">2009-07-27T21:13:45Z</dcterms:created>
  <dcterms:modified xsi:type="dcterms:W3CDTF">2014-12-10T21:27:57Z</dcterms:modified>
</cp:coreProperties>
</file>