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13-Alfalfa" sheetId="66"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'13-Alfalfa'!$A$2:$L$73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calcMode="manual"/>
</workbook>
</file>

<file path=xl/calcChain.xml><?xml version="1.0" encoding="utf-8"?>
<calcChain xmlns="http://schemas.openxmlformats.org/spreadsheetml/2006/main">
  <c r="C109" i="66" l="1"/>
  <c r="C110" i="66"/>
  <c r="C111" i="66"/>
  <c r="C112" i="66"/>
  <c r="C113" i="66"/>
  <c r="C114" i="66"/>
  <c r="C115" i="66"/>
  <c r="C116" i="66"/>
  <c r="C117" i="66"/>
  <c r="C118" i="66"/>
  <c r="C119" i="66"/>
  <c r="C120" i="66"/>
  <c r="C121" i="66"/>
  <c r="C122" i="66"/>
  <c r="C123" i="66"/>
  <c r="C124" i="66"/>
  <c r="C125" i="66"/>
  <c r="C126" i="66"/>
  <c r="C127" i="66"/>
  <c r="C128" i="66"/>
  <c r="C129" i="66"/>
  <c r="C130" i="66"/>
  <c r="C131" i="66"/>
  <c r="C132" i="66"/>
  <c r="C133" i="66"/>
  <c r="C134" i="66"/>
  <c r="C135" i="66"/>
  <c r="C136" i="66"/>
  <c r="C137" i="66"/>
  <c r="C138" i="66"/>
  <c r="C139" i="66"/>
  <c r="C140" i="66"/>
  <c r="C141" i="66"/>
  <c r="C142" i="66"/>
  <c r="C143" i="66"/>
  <c r="C144" i="66"/>
  <c r="C145" i="66"/>
  <c r="C146" i="66"/>
  <c r="C147" i="66"/>
  <c r="C148" i="66"/>
  <c r="C149" i="66"/>
  <c r="C150" i="66"/>
  <c r="C151" i="66"/>
  <c r="C152" i="66"/>
  <c r="C153" i="66"/>
  <c r="C154" i="66"/>
  <c r="C155" i="66"/>
  <c r="C156" i="66"/>
  <c r="C157" i="66"/>
  <c r="C158" i="66"/>
  <c r="C159" i="66"/>
  <c r="C160" i="66"/>
  <c r="C161" i="66"/>
  <c r="C162" i="66"/>
  <c r="C163" i="66"/>
  <c r="C164" i="66"/>
  <c r="C165" i="66"/>
  <c r="C166" i="66"/>
  <c r="C167" i="66"/>
  <c r="C168" i="66"/>
  <c r="C169" i="66"/>
  <c r="C170" i="66"/>
  <c r="C171" i="66"/>
  <c r="C172" i="66"/>
  <c r="C173" i="66"/>
  <c r="C174" i="66"/>
  <c r="C175" i="66"/>
  <c r="C176" i="66"/>
  <c r="C177" i="66"/>
  <c r="C178" i="66"/>
  <c r="C179" i="66"/>
  <c r="C180" i="66"/>
  <c r="C181" i="66"/>
  <c r="C182" i="66"/>
  <c r="C183" i="66"/>
  <c r="C184" i="66"/>
  <c r="C185" i="66"/>
  <c r="C186" i="66"/>
  <c r="C187" i="66"/>
  <c r="C188" i="66"/>
  <c r="C189" i="66"/>
  <c r="C190" i="66"/>
  <c r="C191" i="66"/>
  <c r="C192" i="66"/>
  <c r="C193" i="66"/>
  <c r="C194" i="66"/>
  <c r="C195" i="66"/>
  <c r="C196" i="66"/>
  <c r="C197" i="66"/>
  <c r="C198" i="66"/>
  <c r="C199" i="66"/>
  <c r="C200" i="66"/>
  <c r="C201" i="66"/>
  <c r="C202" i="66"/>
  <c r="C203" i="66"/>
  <c r="C204" i="66"/>
  <c r="C205" i="66"/>
  <c r="C206" i="66"/>
  <c r="C207" i="66"/>
  <c r="C208" i="66"/>
  <c r="C209" i="66"/>
  <c r="C210" i="66"/>
  <c r="C211" i="66"/>
  <c r="C212" i="66"/>
  <c r="C213" i="66"/>
  <c r="C214" i="66"/>
  <c r="C215" i="66"/>
  <c r="C216" i="66"/>
  <c r="C217" i="66"/>
  <c r="C218" i="66"/>
  <c r="C219" i="66"/>
  <c r="C220" i="66"/>
  <c r="C221" i="66"/>
  <c r="C222" i="66"/>
  <c r="C223" i="66"/>
  <c r="C224" i="66"/>
  <c r="C225" i="66"/>
  <c r="C226" i="66"/>
  <c r="C227" i="66"/>
  <c r="C228" i="66"/>
  <c r="C229" i="66"/>
  <c r="C230" i="66"/>
  <c r="C231" i="66"/>
  <c r="B180" i="66"/>
  <c r="B181" i="66"/>
  <c r="B182" i="66"/>
  <c r="B183" i="66"/>
  <c r="B184" i="66"/>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J42" i="1" l="1"/>
  <c r="H42" i="1"/>
  <c r="F115" i="66" l="1"/>
  <c r="F116" i="66"/>
  <c r="F117" i="66"/>
  <c r="F118" i="66"/>
  <c r="F119" i="66"/>
  <c r="F120" i="66"/>
  <c r="F121" i="66"/>
  <c r="J40" i="1"/>
  <c r="H40" i="1"/>
  <c r="H110" i="2" l="1"/>
  <c r="H120" i="2"/>
  <c r="H79" i="2"/>
  <c r="H77" i="2"/>
  <c r="H103" i="2"/>
  <c r="H38" i="2"/>
  <c r="H91" i="2"/>
  <c r="H89" i="2"/>
  <c r="H122" i="2"/>
  <c r="O35" i="1" l="1"/>
  <c r="E14" i="66" l="1"/>
  <c r="F14" i="66"/>
  <c r="G14" i="66"/>
  <c r="H14" i="66"/>
  <c r="I14" i="66"/>
  <c r="J14" i="66"/>
  <c r="K14" i="66"/>
  <c r="E15" i="66"/>
  <c r="F15" i="66"/>
  <c r="G15" i="66"/>
  <c r="H15" i="66"/>
  <c r="I15" i="66"/>
  <c r="J15" i="66"/>
  <c r="K15" i="66"/>
  <c r="O63" i="1" l="1"/>
  <c r="A5" i="66" l="1"/>
  <c r="I54" i="66" l="1"/>
  <c r="J54" i="66"/>
  <c r="K54" i="66"/>
  <c r="I55" i="66"/>
  <c r="J55" i="66"/>
  <c r="K55" i="66"/>
  <c r="I56" i="66"/>
  <c r="J56" i="66"/>
  <c r="K56" i="66"/>
  <c r="I57" i="66"/>
  <c r="J57" i="66"/>
  <c r="K57" i="66"/>
  <c r="I58" i="66"/>
  <c r="J58" i="66"/>
  <c r="K58" i="66"/>
  <c r="C54" i="66"/>
  <c r="C55" i="66"/>
  <c r="C56" i="66"/>
  <c r="C57" i="66"/>
  <c r="C58" i="66"/>
  <c r="F8" i="66" l="1"/>
  <c r="B109" i="66"/>
  <c r="B110" i="66"/>
  <c r="B111" i="66"/>
  <c r="B112" i="66"/>
  <c r="B113" i="66"/>
  <c r="B114" i="66"/>
  <c r="B115" i="66"/>
  <c r="B116" i="66"/>
  <c r="B117" i="66"/>
  <c r="B118" i="66"/>
  <c r="B119" i="66"/>
  <c r="B120" i="66"/>
  <c r="B121" i="66"/>
  <c r="B122" i="66"/>
  <c r="B123" i="66"/>
  <c r="B124" i="66"/>
  <c r="B125" i="66"/>
  <c r="B126" i="66"/>
  <c r="B127" i="66"/>
  <c r="B128" i="66"/>
  <c r="B129" i="66"/>
  <c r="B130" i="66"/>
  <c r="B131" i="66"/>
  <c r="B132" i="66"/>
  <c r="B133" i="66"/>
  <c r="B134" i="66"/>
  <c r="B135" i="66"/>
  <c r="B136" i="66"/>
  <c r="B137" i="66"/>
  <c r="B138" i="66"/>
  <c r="B139" i="66"/>
  <c r="B140" i="66"/>
  <c r="B141" i="66"/>
  <c r="B142" i="66"/>
  <c r="B143" i="66"/>
  <c r="B144" i="66"/>
  <c r="B145" i="66"/>
  <c r="B146" i="66"/>
  <c r="B147" i="66"/>
  <c r="B148" i="66"/>
  <c r="B149" i="66"/>
  <c r="B150" i="66"/>
  <c r="B151" i="66"/>
  <c r="B152" i="66"/>
  <c r="B153" i="66"/>
  <c r="B154" i="66"/>
  <c r="B155" i="66"/>
  <c r="B156" i="66"/>
  <c r="B157" i="66"/>
  <c r="B158" i="66"/>
  <c r="B159" i="66"/>
  <c r="B160" i="66"/>
  <c r="B161" i="66"/>
  <c r="B162" i="66"/>
  <c r="B163" i="66"/>
  <c r="B164" i="66"/>
  <c r="B165" i="66"/>
  <c r="B166" i="66"/>
  <c r="B167" i="66"/>
  <c r="B168" i="66"/>
  <c r="B169" i="66"/>
  <c r="B170" i="66"/>
  <c r="B171" i="66"/>
  <c r="B172" i="66"/>
  <c r="B173" i="66"/>
  <c r="B174" i="66"/>
  <c r="B175" i="66"/>
  <c r="B176" i="66"/>
  <c r="B177" i="66"/>
  <c r="B178" i="66"/>
  <c r="B179" i="66"/>
  <c r="B185" i="66"/>
  <c r="B186" i="66"/>
  <c r="B187" i="66"/>
  <c r="B188" i="66"/>
  <c r="B189" i="66"/>
  <c r="B190" i="66"/>
  <c r="B191" i="66"/>
  <c r="B192" i="66"/>
  <c r="B193" i="66"/>
  <c r="B194" i="66"/>
  <c r="B195" i="66"/>
  <c r="B196" i="66"/>
  <c r="B197" i="66"/>
  <c r="B198" i="66"/>
  <c r="B199" i="66"/>
  <c r="B200" i="66"/>
  <c r="B201" i="66"/>
  <c r="B202" i="66"/>
  <c r="B203" i="66"/>
  <c r="B204" i="66"/>
  <c r="B205" i="66"/>
  <c r="B206" i="66"/>
  <c r="N98" i="1"/>
  <c r="N99" i="1"/>
  <c r="O98" i="1"/>
  <c r="O99" i="1"/>
  <c r="S98" i="1"/>
  <c r="S99" i="1"/>
  <c r="T98" i="1"/>
  <c r="T99" i="1"/>
  <c r="H36" i="66"/>
  <c r="C17" i="66"/>
  <c r="Q99" i="1" l="1"/>
  <c r="P99" i="1"/>
  <c r="P98" i="1"/>
  <c r="Q98" i="1"/>
  <c r="R99" i="1"/>
  <c r="U99" i="1" s="1"/>
  <c r="R98" i="1"/>
  <c r="U98" i="1" s="1"/>
  <c r="E10" i="66"/>
  <c r="O4" i="66"/>
  <c r="I3" i="66"/>
  <c r="A6" i="66" s="1"/>
  <c r="K2" i="66" l="1"/>
  <c r="B207" i="66"/>
  <c r="F133" i="66"/>
  <c r="F132" i="66"/>
  <c r="F131" i="66"/>
  <c r="F130" i="66"/>
  <c r="F129" i="66"/>
  <c r="F128" i="66"/>
  <c r="F127" i="66"/>
  <c r="F126" i="66"/>
  <c r="F125" i="66"/>
  <c r="F124" i="66"/>
  <c r="F123" i="66"/>
  <c r="F122" i="66"/>
  <c r="F114" i="66"/>
  <c r="F113" i="66"/>
  <c r="F112" i="66"/>
  <c r="F111" i="66"/>
  <c r="F110" i="66"/>
  <c r="F109" i="66"/>
  <c r="F108" i="66"/>
  <c r="C108" i="66"/>
  <c r="B108" i="66"/>
  <c r="B73" i="66"/>
  <c r="B72" i="66"/>
  <c r="I69" i="66"/>
  <c r="F69" i="66"/>
  <c r="I68" i="66"/>
  <c r="F68" i="66"/>
  <c r="K67" i="66"/>
  <c r="I64" i="66"/>
  <c r="H64" i="66"/>
  <c r="K59" i="66"/>
  <c r="J59" i="66"/>
  <c r="I59" i="66"/>
  <c r="C59" i="66"/>
  <c r="K53" i="66"/>
  <c r="J53" i="66"/>
  <c r="I53" i="66"/>
  <c r="C53" i="66"/>
  <c r="K52" i="66"/>
  <c r="J52" i="66"/>
  <c r="I52" i="66"/>
  <c r="C52" i="66"/>
  <c r="K51" i="66"/>
  <c r="J51" i="66"/>
  <c r="I51" i="66"/>
  <c r="C51" i="66"/>
  <c r="K50" i="66"/>
  <c r="J50" i="66"/>
  <c r="I50" i="66"/>
  <c r="C50" i="66"/>
  <c r="K49" i="66"/>
  <c r="J49" i="66"/>
  <c r="I49" i="66"/>
  <c r="C49" i="66"/>
  <c r="K48" i="66"/>
  <c r="J48" i="66"/>
  <c r="I48" i="66"/>
  <c r="C48" i="66"/>
  <c r="K47" i="66"/>
  <c r="J47" i="66"/>
  <c r="I47" i="66"/>
  <c r="C47" i="66"/>
  <c r="K46" i="66"/>
  <c r="J46" i="66"/>
  <c r="I46" i="66"/>
  <c r="C46" i="66"/>
  <c r="K45" i="66"/>
  <c r="J45" i="66"/>
  <c r="I45" i="66"/>
  <c r="C45" i="66"/>
  <c r="K44" i="66"/>
  <c r="J44" i="66"/>
  <c r="I44" i="66"/>
  <c r="C44" i="66"/>
  <c r="K43" i="66"/>
  <c r="J43" i="66"/>
  <c r="I43" i="66"/>
  <c r="C43" i="66"/>
  <c r="K42" i="66"/>
  <c r="J42" i="66"/>
  <c r="I42" i="66"/>
  <c r="C42" i="66"/>
  <c r="I41" i="66"/>
  <c r="C41" i="66"/>
  <c r="I40" i="66"/>
  <c r="C40" i="66"/>
  <c r="I39" i="66"/>
  <c r="C39" i="66"/>
  <c r="I38" i="66"/>
  <c r="C38" i="66"/>
  <c r="I37" i="66"/>
  <c r="C37" i="66"/>
  <c r="I36" i="66"/>
  <c r="C36" i="66"/>
  <c r="I35" i="66"/>
  <c r="C35" i="66"/>
  <c r="J29" i="66"/>
  <c r="I29" i="66"/>
  <c r="H29" i="66"/>
  <c r="G29" i="66"/>
  <c r="F29" i="66"/>
  <c r="E29" i="66"/>
  <c r="J28" i="66"/>
  <c r="I28" i="66"/>
  <c r="H28" i="66"/>
  <c r="G28" i="66"/>
  <c r="F28" i="66"/>
  <c r="E28" i="66"/>
  <c r="J27" i="66"/>
  <c r="I27" i="66"/>
  <c r="H27" i="66"/>
  <c r="G27" i="66"/>
  <c r="F27" i="66"/>
  <c r="E27" i="66"/>
  <c r="J26" i="66"/>
  <c r="I26" i="66"/>
  <c r="H26" i="66"/>
  <c r="G26" i="66"/>
  <c r="F26" i="66"/>
  <c r="E26" i="66"/>
  <c r="J25" i="66"/>
  <c r="I25" i="66"/>
  <c r="H25" i="66"/>
  <c r="G25" i="66"/>
  <c r="F25" i="66"/>
  <c r="E25" i="66"/>
  <c r="J24" i="66"/>
  <c r="I24" i="66"/>
  <c r="H24" i="66"/>
  <c r="G24" i="66"/>
  <c r="F24" i="66"/>
  <c r="E24" i="66"/>
  <c r="J23" i="66"/>
  <c r="I23" i="66"/>
  <c r="H23" i="66"/>
  <c r="G23" i="66"/>
  <c r="F23" i="66"/>
  <c r="E23" i="66"/>
  <c r="J22" i="66"/>
  <c r="I22" i="66"/>
  <c r="H22" i="66"/>
  <c r="G22" i="66"/>
  <c r="F22" i="66"/>
  <c r="E22" i="66"/>
  <c r="J21" i="66"/>
  <c r="I21" i="66"/>
  <c r="H21" i="66"/>
  <c r="G21" i="66"/>
  <c r="F21" i="66"/>
  <c r="E21" i="66"/>
  <c r="J20" i="66"/>
  <c r="I20" i="66"/>
  <c r="H20" i="66"/>
  <c r="G20" i="66"/>
  <c r="F20" i="66"/>
  <c r="E20" i="66"/>
  <c r="E19" i="66"/>
  <c r="E18" i="66"/>
  <c r="E16" i="66"/>
  <c r="E13" i="66"/>
  <c r="E12" i="66"/>
  <c r="E11" i="66"/>
  <c r="E8" i="66"/>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J9" i="48"/>
  <c r="K9" i="48"/>
  <c r="E17" i="66"/>
  <c r="K17" i="66" s="1"/>
  <c r="F10" i="66"/>
  <c r="F11" i="66"/>
  <c r="F12" i="66"/>
  <c r="F13" i="66"/>
  <c r="F16" i="66"/>
  <c r="F18" i="66"/>
  <c r="F19" i="66"/>
  <c r="E3" i="57"/>
  <c r="E4" i="57"/>
  <c r="E7" i="57"/>
  <c r="K68" i="66"/>
  <c r="K69" i="66"/>
  <c r="K20" i="66"/>
  <c r="K21" i="66"/>
  <c r="K22" i="66"/>
  <c r="K23" i="66"/>
  <c r="K24" i="66"/>
  <c r="K25" i="66"/>
  <c r="K26" i="66"/>
  <c r="K27" i="66"/>
  <c r="K28" i="66"/>
  <c r="K29" i="66"/>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H13" i="66"/>
  <c r="R51" i="1"/>
  <c r="R66" i="1"/>
  <c r="R34" i="1"/>
  <c r="T35" i="1"/>
  <c r="R35" i="1"/>
  <c r="T34" i="1"/>
  <c r="T32" i="1"/>
  <c r="R48" i="1"/>
  <c r="T66" i="1"/>
  <c r="S66" i="1"/>
  <c r="F6" i="57"/>
  <c r="E31" i="66"/>
  <c r="G7" i="57"/>
  <c r="R38" i="1"/>
  <c r="P2" i="48"/>
  <c r="O9" i="48"/>
  <c r="N9" i="48"/>
  <c r="F31" i="66"/>
  <c r="N7" i="48"/>
  <c r="H16" i="66"/>
  <c r="H19" i="66"/>
  <c r="H18" i="66"/>
  <c r="H10" i="66"/>
  <c r="G11" i="66"/>
  <c r="G19" i="66"/>
  <c r="G18" i="66"/>
  <c r="G16" i="66"/>
  <c r="G13" i="66"/>
  <c r="G12" i="66"/>
  <c r="G10" i="66"/>
  <c r="H11" i="66"/>
  <c r="H12" i="66"/>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J41" i="66"/>
  <c r="K41" i="66" s="1"/>
  <c r="P7" i="48"/>
  <c r="O5" i="1"/>
  <c r="J36" i="66"/>
  <c r="K36" i="66" s="1"/>
  <c r="P9" i="48"/>
  <c r="J37" i="66"/>
  <c r="K37" i="66" s="1"/>
  <c r="J40" i="66"/>
  <c r="K40" i="66" s="1"/>
  <c r="J39" i="66"/>
  <c r="K39" i="66" s="1"/>
  <c r="J35" i="66"/>
  <c r="K35" i="66" s="1"/>
  <c r="J38" i="66"/>
  <c r="K38" i="66" s="1"/>
  <c r="R32" i="1"/>
  <c r="S32" i="1"/>
  <c r="T31" i="1"/>
  <c r="G31" i="66"/>
  <c r="H31" i="66"/>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J13" i="66"/>
  <c r="H6" i="57"/>
  <c r="U32" i="1"/>
  <c r="G3" i="57"/>
  <c r="G4" i="57"/>
  <c r="H4" i="57"/>
  <c r="H3" i="57"/>
  <c r="I19" i="66"/>
  <c r="I16" i="66"/>
  <c r="I12" i="66"/>
  <c r="I18" i="66"/>
  <c r="I13" i="66"/>
  <c r="I10" i="66"/>
  <c r="U31" i="1"/>
  <c r="K61" i="66"/>
  <c r="E64" i="66" s="1"/>
  <c r="J16" i="66"/>
  <c r="J10" i="66"/>
  <c r="J11" i="66"/>
  <c r="J12" i="66"/>
  <c r="J19" i="66"/>
  <c r="J18" i="66"/>
  <c r="I11" i="66"/>
  <c r="I6" i="57"/>
  <c r="I7" i="57"/>
  <c r="H7" i="57"/>
  <c r="L8" i="52"/>
  <c r="T7" i="52"/>
  <c r="R7" i="52"/>
  <c r="P7" i="52"/>
  <c r="N7" i="52"/>
  <c r="U7" i="52"/>
  <c r="S7" i="52"/>
  <c r="Q7" i="52"/>
  <c r="O7" i="52"/>
  <c r="M7" i="52"/>
  <c r="R5" i="1"/>
  <c r="T5" i="1"/>
  <c r="S5" i="1"/>
  <c r="I31" i="136" l="1"/>
  <c r="K11" i="136"/>
  <c r="J6" i="57"/>
  <c r="K13" i="66"/>
  <c r="K12" i="66"/>
  <c r="K18" i="66"/>
  <c r="K19" i="66"/>
  <c r="K16" i="66"/>
  <c r="K11" i="66"/>
  <c r="I31" i="66"/>
  <c r="K64" i="66"/>
  <c r="K73" i="66" s="1"/>
  <c r="J31" i="66"/>
  <c r="K10" i="66"/>
  <c r="J7" i="57"/>
  <c r="L9" i="52"/>
  <c r="T8" i="52"/>
  <c r="R8" i="52"/>
  <c r="P8" i="52"/>
  <c r="N8" i="52"/>
  <c r="U8" i="52"/>
  <c r="S8" i="52"/>
  <c r="Q8" i="52"/>
  <c r="O8" i="52"/>
  <c r="M8" i="52"/>
  <c r="U5" i="1"/>
  <c r="J10" i="136" l="1"/>
  <c r="K10" i="136" s="1"/>
  <c r="K31" i="136" s="1"/>
  <c r="K63" i="136" s="1"/>
  <c r="K65" i="136" s="1"/>
  <c r="K70" i="136" s="1"/>
  <c r="K31" i="66"/>
  <c r="K63" i="66" s="1"/>
  <c r="K65" i="66" s="1"/>
  <c r="K70" i="66" s="1"/>
  <c r="K72" i="66"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<sst xmlns="http://schemas.openxmlformats.org/spreadsheetml/2006/main" count="1645" uniqueCount="616">
  <si>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</si>
  <si>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</si>
  <si>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</si>
  <si>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</si>
  <si>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</si>
  <si>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</si>
  <si>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</si>
  <si>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</si>
  <si>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</si>
  <si>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</si>
  <si>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</si>
  <si>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</si>
  <si>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</si>
  <si>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</si>
  <si>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</si>
  <si>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</si>
  <si>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</si>
  <si>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</si>
  <si>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</si>
  <si>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</si>
  <si>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</si>
  <si>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</si>
  <si>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</si>
  <si>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</si>
  <si>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</si>
  <si>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</si>
  <si>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</si>
  <si>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</si>
  <si>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</si>
  <si>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</si>
  <si>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</si>
  <si>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</si>
  <si>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</si>
  <si>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</si>
  <si>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</si>
  <si>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</si>
  <si>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</si>
  <si>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</si>
  <si>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</si>
  <si>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</si>
  <si>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</si>
  <si>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</si>
  <si>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</si>
  <si>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</si>
  <si>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</si>
  <si>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</si>
  <si>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</si>
  <si>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</si>
  <si>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</si>
  <si>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</si>
  <si>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</si>
  <si>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</si>
  <si>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</si>
  <si>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</si>
  <si>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</si>
  <si>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</si>
  <si>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</si>
  <si>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</si>
  <si>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</si>
  <si>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</si>
  <si>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</si>
  <si>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</si>
  <si>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</si>
  <si>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</si>
  <si>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</si>
  <si>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</si>
  <si>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</si>
  <si>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</si>
  <si>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</si>
  <si>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</si>
  <si>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</si>
  <si>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</si>
  <si>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</si>
  <si>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</si>
  <si>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</si>
  <si>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</si>
  <si>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</si>
  <si>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</si>
  <si>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</si>
  <si>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</si>
  <si>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</si>
  <si>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</si>
  <si>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</si>
  <si>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</si>
  <si>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</si>
  <si>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</si>
  <si>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</si>
  <si>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</si>
  <si>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</si>
  <si>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</si>
  <si>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</si>
  <si>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</si>
  <si>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</si>
  <si>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</si>
  <si>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</si>
  <si>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</si>
  <si>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</si>
  <si>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</si>
  <si>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</si>
  <si>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</si>
  <si>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</si>
  <si>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</si>
  <si>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Large Square</t>
  </si>
  <si>
    <t>Canal Irrigated</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</si>
  <si>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</si>
  <si>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</si>
  <si>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</si>
  <si>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</si>
  <si>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</si>
  <si>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</si>
  <si>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</si>
  <si>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</si>
  <si>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</si>
  <si>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</si>
  <si>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</si>
  <si>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</si>
  <si>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</si>
  <si>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</si>
  <si>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</si>
  <si>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</si>
  <si>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</si>
  <si>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</si>
  <si>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</si>
  <si>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</si>
  <si>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</si>
  <si>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</si>
  <si>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</si>
  <si>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</si>
  <si>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</si>
  <si>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</si>
  <si>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</si>
  <si>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</si>
  <si>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</si>
  <si>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</si>
  <si>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</si>
  <si>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</si>
  <si>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</si>
  <si>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</si>
  <si>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</si>
  <si>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</si>
  <si>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</si>
  <si>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</si>
  <si>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</si>
  <si>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</si>
  <si>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</si>
  <si>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</si>
  <si>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</si>
  <si>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</si>
  <si>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</si>
  <si>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</si>
  <si>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</si>
  <si>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</si>
  <si>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</si>
  <si>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</si>
  <si>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</si>
  <si>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</si>
  <si>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</si>
  <si>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</si>
  <si>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</si>
  <si>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</si>
  <si>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</si>
  <si>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</si>
  <si>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</si>
  <si>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</si>
  <si>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</si>
  <si>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</si>
  <si>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</si>
  <si>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</si>
  <si>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</si>
  <si>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</si>
  <si>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</si>
  <si>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</si>
  <si>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</si>
  <si>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</si>
  <si>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</si>
  <si>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</si>
  <si>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</si>
  <si>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</si>
  <si>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</si>
  <si>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</si>
  <si>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</si>
  <si>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</si>
  <si>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</si>
  <si>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</si>
  <si>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</si>
  <si>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</si>
  <si>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</si>
  <si>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</si>
  <si>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</si>
  <si>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</si>
  <si>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</si>
  <si>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</si>
  <si>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</si>
  <si>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</si>
  <si>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</si>
  <si>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</si>
  <si>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</si>
  <si>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</si>
  <si>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</si>
  <si>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</si>
  <si>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</si>
  <si>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</si>
  <si>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</si>
  <si>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</si>
  <si>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</si>
  <si>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</si>
  <si>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</si>
  <si>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</si>
  <si>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</si>
  <si>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</si>
  <si>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</si>
  <si>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</si>
  <si>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</si>
  <si>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</si>
  <si>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</si>
  <si>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</si>
  <si>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</si>
  <si>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</si>
  <si>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</si>
  <si>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</si>
  <si>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</si>
  <si>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</si>
  <si>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</si>
  <si>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</si>
  <si>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</si>
  <si>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</si>
  <si>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</si>
  <si>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</si>
  <si>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</si>
  <si>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</si>
  <si>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</si>
  <si>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</si>
  <si>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</si>
  <si>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</si>
  <si>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</si>
  <si>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</si>
  <si>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</si>
  <si>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</si>
  <si>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</si>
  <si>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</si>
  <si>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</si>
  <si>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</si>
  <si>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</si>
  <si>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</si>
  <si>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</si>
  <si>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</si>
  <si>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</si>
  <si>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</si>
  <si>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</si>
  <si>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</si>
  <si>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</si>
  <si>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</si>
  <si>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</si>
  <si>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</si>
  <si>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</si>
  <si>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</si>
  <si>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</si>
  <si>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</si>
  <si>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</si>
  <si>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</si>
  <si>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</si>
  <si>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</si>
  <si>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</si>
  <si>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</si>
  <si>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</si>
  <si>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</si>
  <si>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</si>
  <si>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</si>
  <si>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</si>
  <si>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</si>
  <si>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</si>
  <si>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</si>
  <si>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</si>
  <si>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</si>
  <si>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</si>
  <si>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</si>
  <si>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</si>
  <si>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</si>
  <si>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</si>
  <si>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</si>
  <si>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</si>
  <si>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</si>
  <si>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</si>
  <si>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</si>
  <si>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</si>
  <si>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</si>
  <si>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</si>
  <si>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</si>
  <si>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</si>
  <si>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</si>
  <si>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</si>
  <si>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</si>
  <si>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</si>
  <si>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</si>
  <si>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</si>
  <si>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</si>
  <si>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</si>
  <si>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</si>
  <si>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</si>
  <si>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</si>
  <si>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</si>
  <si>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</si>
  <si>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</si>
  <si>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</si>
  <si>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</si>
  <si>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</si>
  <si>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</si>
  <si>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</si>
  <si>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</si>
  <si>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</si>
  <si>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</si>
  <si>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</si>
  <si>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</si>
  <si>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</si>
  <si>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</si>
  <si>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</si>
  <si>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</si>
  <si>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</si>
  <si>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</si>
  <si>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</si>
  <si>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</si>
  <si>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</si>
  <si>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</si>
  <si>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</si>
  <si>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</si>
  <si>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</si>
  <si>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</si>
  <si>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</si>
  <si>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</si>
  <si>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</si>
  <si>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</si>
  <si>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</si>
  <si>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</si>
  <si>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</si>
  <si>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</si>
  <si>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</si>
  <si>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</si>
  <si>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</si>
  <si>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</si>
  <si>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</si>
  <si>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</si>
  <si>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</si>
  <si>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</si>
  <si>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</si>
  <si>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</si>
  <si>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</si>
  <si>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</si>
  <si>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</si>
  <si>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</si>
  <si>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</si>
  <si>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</si>
  <si>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</si>
  <si>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</si>
  <si>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</si>
  <si>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</si>
  <si>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</si>
  <si>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</si>
  <si>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</si>
  <si>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</si>
  <si>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</si>
  <si>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</si>
  <si>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</si>
  <si>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</si>
  <si>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</si>
  <si>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</si>
  <si>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</si>
  <si>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</si>
  <si>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</si>
  <si>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</si>
  <si>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</si>
  <si>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</si>
  <si>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</si>
  <si>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</si>
  <si>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</si>
  <si>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</si>
  <si>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</si>
  <si>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</si>
  <si>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</si>
  <si>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</si>
  <si>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</si>
  <si>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</si>
  <si>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</si>
  <si>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</si>
  <si>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</si>
  <si>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</si>
  <si>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</si>
  <si>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</si>
  <si>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</si>
  <si>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</si>
  <si>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</si>
  <si>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</si>
  <si>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</si>
  <si>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</si>
  <si>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</si>
  <si>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</si>
  <si>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</si>
  <si>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</si>
  <si>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</si>
  <si>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</si>
  <si>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</si>
  <si>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</si>
  <si>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</si>
  <si>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</si>
  <si>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</si>
  <si>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</si>
  <si>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</si>
  <si>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</si>
  <si>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</si>
  <si>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</si>
  <si>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</si>
  <si>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</si>
  <si>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</si>
  <si>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</si>
  <si>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</si>
  <si>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</si>
  <si>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</si>
  <si>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</si>
  <si>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</si>
  <si>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</si>
  <si>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</si>
  <si>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</si>
  <si>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</si>
  <si>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</si>
  <si>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</si>
  <si>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</si>
  <si>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</si>
  <si>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</si>
  <si>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</si>
  <si>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</si>
  <si>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</si>
  <si>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</si>
  <si>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</si>
  <si>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</si>
  <si>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</si>
  <si>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</si>
  <si>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</si>
  <si>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</si>
  <si>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</si>
  <si>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</si>
  <si>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</si>
  <si>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</si>
  <si>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</si>
  <si>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</si>
  <si>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</si>
  <si>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</si>
  <si>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</si>
  <si>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</si>
  <si>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</si>
  <si>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</si>
  <si>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</si>
  <si>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</si>
  <si>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</si>
  <si>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</si>
  <si>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</si>
  <si>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</si>
  <si>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</si>
  <si>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</si>
  <si>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</si>
  <si>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</si>
  <si>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</si>
  <si>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</si>
  <si>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</si>
  <si>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</si>
  <si>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</si>
  <si>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</si>
  <si>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</si>
  <si>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</si>
  <si>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</si>
  <si>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</si>
  <si>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</si>
  <si>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</si>
  <si>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</si>
  <si>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</si>
  <si>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</si>
  <si>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</si>
  <si>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</si>
  <si>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</si>
  <si>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</si>
  <si>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</si>
  <si>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</si>
  <si>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</si>
  <si>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</si>
  <si>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</si>
  <si>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</si>
  <si>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</si>
  <si>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</si>
  <si>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</si>
  <si>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</si>
  <si>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</si>
  <si>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</si>
  <si>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</si>
  <si>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</si>
  <si>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</si>
  <si>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</si>
  <si>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</si>
  <si>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</si>
  <si>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</si>
  <si>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</si>
  <si>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</si>
  <si>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</si>
  <si>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</si>
  <si>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</si>
  <si>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</si>
  <si>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</si>
  <si>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</si>
  <si>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</si>
  <si>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</si>
  <si>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</si>
  <si>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</si>
  <si>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</si>
  <si>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</si>
  <si>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</si>
  <si>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</si>
  <si>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</si>
  <si>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</si>
  <si>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</si>
  <si>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</si>
  <si>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</si>
  <si>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</si>
  <si>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</si>
  <si>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</si>
  <si>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</si>
  <si>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</si>
  <si>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</si>
  <si>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</si>
  <si>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</si>
  <si>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</si>
  <si>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</si>
  <si>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</si>
  <si>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</si>
  <si>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</si>
  <si>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</si>
  <si>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</si>
  <si>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</si>
  <si>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</si>
  <si>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</si>
  <si>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</si>
  <si>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</si>
  <si>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</si>
  <si>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</si>
  <si>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</si>
  <si>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</si>
  <si>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</si>
  <si>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</si>
  <si>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</si>
  <si>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</si>
  <si>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</si>
  <si>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</si>
  <si>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</si>
  <si>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</si>
  <si>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</si>
  <si>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</si>
  <si>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</si>
  <si>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</si>
  <si>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</si>
  <si>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</si>
  <si>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</si>
  <si>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</si>
  <si>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</si>
  <si>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</si>
  <si>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</si>
  <si>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</si>
  <si>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</si>
  <si>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Budget 13. Alfalfa</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</si>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</sst>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5">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48486808"/>
        <c:axId val="448487200"/>
      </c:lineChart>
      <c:catAx>
        <c:axId val="448486808"/>
        <c:scaling>
          <c:orientation val="minMax"/>
        </c:scaling>
        <c:delete val="0"/>
        <c:axPos val="b"/>
        <c:majorTickMark val="out"/>
        <c:minorTickMark val="none"/>
        <c:tickLblPos val="nextTo"/>
        <c:crossAx val="448487200"/>
        <c:crosses val="autoZero"/>
        <c:auto val="1"/>
        <c:lblAlgn val="ctr"/>
        <c:lblOffset val="100"/>
        <c:noMultiLvlLbl val="0"/>
      </c:catAx>
      <c:valAx>
        <c:axId val="448487200"/>
        <c:scaling>
          <c:orientation val="minMax"/>
        </c:scaling>
        <c:delete val="0"/>
        <c:axPos val="l"/>
        <c:majorGridlines/>
        <c:numFmt formatCode="General" sourceLinked="1"/>
        <c:majorTickMark val="out"/>
        <c:minorTickMark val="none"/>
        <c:tickLblPos val="nextTo"/>
        <c:crossAx val="448486808"/>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481</v>
      </c>
    </row>
    <row r="39" spans="3:12" x14ac:dyDescent="0.2">
      <c r="D39" s="27" t="s">
        <v>482</v>
      </c>
      <c r="F39" s="27" t="s">
        <v>489</v>
      </c>
      <c r="L39" s="192" t="s">
        <v>483</v>
      </c>
    </row>
    <row r="40" spans="3:12" x14ac:dyDescent="0.2">
      <c r="D40" s="27" t="s">
        <v>485</v>
      </c>
      <c r="F40" s="27" t="s">
        <v>600</v>
      </c>
      <c r="L40" s="192" t="s">
        <v>484</v>
      </c>
    </row>
    <row r="41" spans="3:12" x14ac:dyDescent="0.2">
      <c r="D41" s="27" t="s">
        <v>486</v>
      </c>
      <c r="F41" s="27" t="s">
        <v>601</v>
      </c>
      <c r="L41" s="192" t="s">
        <v>487</v>
      </c>
    </row>
    <row r="42" spans="3:12" x14ac:dyDescent="0.2">
      <c r="D42" s="27" t="s">
        <v>602</v>
      </c>
      <c r="F42" s="27" t="s">
        <v>603</v>
      </c>
      <c r="L42" s="192" t="s">
        <v>604</v>
      </c>
    </row>
    <row r="43" spans="3:12" x14ac:dyDescent="0.2">
      <c r="D43" s="27" t="s">
        <v>605</v>
      </c>
      <c r="F43" s="27" t="s">
        <v>606</v>
      </c>
      <c r="L43" s="192" t="s">
        <v>488</v>
      </c>
    </row>
    <row r="44" spans="3:12" x14ac:dyDescent="0.2">
      <c r="D44" s="27" t="s">
        <v>607</v>
      </c>
      <c r="F44" s="27" t="s">
        <v>608</v>
      </c>
      <c r="K44" s="192"/>
      <c r="L44" s="192" t="s">
        <v>609</v>
      </c>
    </row>
    <row r="45" spans="3:12" x14ac:dyDescent="0.2">
      <c r="D45" s="27" t="s">
        <v>610</v>
      </c>
      <c r="F45" s="27" t="s">
        <v>611</v>
      </c>
      <c r="K45" s="192"/>
      <c r="L45" s="192" t="s">
        <v>612</v>
      </c>
    </row>
    <row r="46" spans="3:12" x14ac:dyDescent="0.2">
      <c r="D46" s="27" t="s">
        <v>613</v>
      </c>
      <c r="F46" s="27" t="s">
        <v>614</v>
      </c>
      <c r="K46" s="192"/>
      <c r="L46" s="192" t="s">
        <v>615</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4" t="s">
        <v>583</v>
      </c>
      <c r="B1" s="304"/>
      <c r="C1" s="304"/>
      <c r="D1" s="304"/>
      <c r="E1" s="304"/>
      <c r="F1" s="304"/>
      <c r="G1" s="304"/>
      <c r="H1" s="304"/>
      <c r="I1" s="304"/>
    </row>
    <row r="3" spans="1:14" ht="15.75" x14ac:dyDescent="0.25">
      <c r="A3" s="28" t="s">
        <v>371</v>
      </c>
      <c r="B3" s="74">
        <v>2015</v>
      </c>
      <c r="C3" s="78"/>
      <c r="E3" s="216" t="s">
        <v>417</v>
      </c>
      <c r="M3" s="31"/>
      <c r="N3" s="31"/>
    </row>
    <row r="4" spans="1:14" x14ac:dyDescent="0.2">
      <c r="A4" s="29" t="s">
        <v>87</v>
      </c>
      <c r="B4" s="72">
        <v>20</v>
      </c>
      <c r="C4" s="79" t="s">
        <v>90</v>
      </c>
      <c r="E4" s="27" t="s">
        <v>418</v>
      </c>
      <c r="F4" s="27" t="s">
        <v>419</v>
      </c>
    </row>
    <row r="5" spans="1:14" x14ac:dyDescent="0.2">
      <c r="A5" s="29" t="s">
        <v>88</v>
      </c>
      <c r="B5" s="72">
        <v>3.25</v>
      </c>
      <c r="C5" s="80" t="s">
        <v>468</v>
      </c>
      <c r="E5" s="82" t="s">
        <v>473</v>
      </c>
      <c r="F5" s="295">
        <v>3730</v>
      </c>
    </row>
    <row r="6" spans="1:14" x14ac:dyDescent="0.2">
      <c r="A6" s="30" t="s">
        <v>432</v>
      </c>
      <c r="B6" s="75">
        <v>1.1499999999999999</v>
      </c>
      <c r="C6" s="80"/>
      <c r="E6" s="82" t="s">
        <v>480</v>
      </c>
      <c r="F6" s="295">
        <v>845</v>
      </c>
    </row>
    <row r="7" spans="1:14" x14ac:dyDescent="0.2">
      <c r="A7" s="30" t="s">
        <v>433</v>
      </c>
      <c r="B7" s="190">
        <f>B5*B6</f>
        <v>3.7374999999999998</v>
      </c>
      <c r="C7" s="79" t="s">
        <v>92</v>
      </c>
      <c r="E7" s="82" t="s">
        <v>413</v>
      </c>
      <c r="F7" s="295">
        <v>7310</v>
      </c>
    </row>
    <row r="8" spans="1:14" x14ac:dyDescent="0.2">
      <c r="A8" s="29" t="s">
        <v>89</v>
      </c>
      <c r="B8" s="73">
        <v>0.1</v>
      </c>
      <c r="C8" s="79" t="s">
        <v>91</v>
      </c>
      <c r="E8" s="82" t="s">
        <v>414</v>
      </c>
      <c r="F8" s="295">
        <v>3040</v>
      </c>
    </row>
    <row r="9" spans="1:14" x14ac:dyDescent="0.2">
      <c r="A9" s="29" t="s">
        <v>370</v>
      </c>
      <c r="B9" s="76">
        <v>0.02</v>
      </c>
      <c r="C9" s="81"/>
      <c r="E9" s="82" t="s">
        <v>415</v>
      </c>
      <c r="F9" s="295">
        <v>7685</v>
      </c>
    </row>
    <row r="10" spans="1:14" x14ac:dyDescent="0.2">
      <c r="A10" s="29" t="s">
        <v>106</v>
      </c>
      <c r="B10" s="76">
        <v>0.04</v>
      </c>
      <c r="C10" s="81"/>
      <c r="E10" s="82" t="s">
        <v>416</v>
      </c>
      <c r="F10" s="295">
        <v>3770</v>
      </c>
    </row>
    <row r="11" spans="1:14" x14ac:dyDescent="0.2">
      <c r="A11" s="29" t="s">
        <v>405</v>
      </c>
      <c r="B11" s="76">
        <v>5.5E-2</v>
      </c>
      <c r="C11" s="80"/>
      <c r="E11" s="69" t="s">
        <v>476</v>
      </c>
      <c r="F11" s="296">
        <v>1965</v>
      </c>
    </row>
    <row r="12" spans="1:14" x14ac:dyDescent="0.2">
      <c r="A12" s="29" t="s">
        <v>406</v>
      </c>
      <c r="B12" s="77">
        <v>6</v>
      </c>
      <c r="C12" s="80" t="s">
        <v>407</v>
      </c>
      <c r="E12" s="69" t="s">
        <v>101</v>
      </c>
      <c r="F12" s="296">
        <v>0</v>
      </c>
    </row>
    <row r="13" spans="1:14" ht="15.75" customHeight="1" x14ac:dyDescent="0.2">
      <c r="A13" s="29" t="s">
        <v>421</v>
      </c>
      <c r="B13" s="76">
        <v>0.01</v>
      </c>
      <c r="C13" s="80"/>
      <c r="E13" s="69" t="s">
        <v>593</v>
      </c>
      <c r="F13" s="296">
        <f>F9*0.7</f>
        <v>5379.5</v>
      </c>
    </row>
    <row r="14" spans="1:14" ht="12.75" customHeight="1" x14ac:dyDescent="0.2">
      <c r="A14" s="29" t="s">
        <v>457</v>
      </c>
      <c r="B14" s="72">
        <v>20</v>
      </c>
      <c r="C14" s="80"/>
    </row>
    <row r="15" spans="1:14" ht="12.75" customHeight="1" x14ac:dyDescent="0.2"/>
    <row r="16" spans="1:14" ht="12.75" customHeight="1" x14ac:dyDescent="0.2">
      <c r="A16" s="216" t="s">
        <v>410</v>
      </c>
    </row>
    <row r="17" spans="1:14" ht="12.75" customHeight="1" x14ac:dyDescent="0.2">
      <c r="A17" s="212" t="s">
        <v>503</v>
      </c>
      <c r="B17" s="212" t="s">
        <v>514</v>
      </c>
    </row>
    <row r="18" spans="1:14" ht="12.75" customHeight="1" x14ac:dyDescent="0.2">
      <c r="A18" s="210" t="s">
        <v>505</v>
      </c>
      <c r="B18" s="211">
        <v>23</v>
      </c>
    </row>
    <row r="19" spans="1:14" ht="12.75" customHeight="1" x14ac:dyDescent="0.2">
      <c r="A19" s="210" t="s">
        <v>596</v>
      </c>
      <c r="B19" s="211">
        <v>20</v>
      </c>
    </row>
    <row r="20" spans="1:14" ht="12.75" customHeight="1" x14ac:dyDescent="0.2">
      <c r="A20" s="210" t="s">
        <v>504</v>
      </c>
      <c r="B20" s="211">
        <v>10</v>
      </c>
    </row>
    <row r="21" spans="1:14" ht="12.75" customHeight="1" x14ac:dyDescent="0.2">
      <c r="A21" s="210" t="s">
        <v>508</v>
      </c>
      <c r="B21" s="211">
        <v>21</v>
      </c>
    </row>
    <row r="22" spans="1:14" ht="12.75" customHeight="1" x14ac:dyDescent="0.2">
      <c r="A22" s="210" t="s">
        <v>512</v>
      </c>
      <c r="B22" s="211">
        <v>11</v>
      </c>
    </row>
    <row r="23" spans="1:14" ht="12.75" customHeight="1" x14ac:dyDescent="0.2">
      <c r="A23" s="210" t="s">
        <v>513</v>
      </c>
      <c r="B23" s="211">
        <v>10</v>
      </c>
    </row>
    <row r="24" spans="1:14" ht="12.75" customHeight="1" x14ac:dyDescent="0.2">
      <c r="A24" s="210" t="s">
        <v>43</v>
      </c>
      <c r="B24" s="211">
        <v>15</v>
      </c>
    </row>
    <row r="25" spans="1:14" ht="12.75" customHeight="1" x14ac:dyDescent="0.2">
      <c r="A25" s="210" t="s">
        <v>46</v>
      </c>
      <c r="B25" s="211">
        <v>11</v>
      </c>
    </row>
    <row r="26" spans="1:14" x14ac:dyDescent="0.2">
      <c r="A26" s="210" t="s">
        <v>507</v>
      </c>
      <c r="B26" s="211">
        <v>16</v>
      </c>
    </row>
    <row r="27" spans="1:14" x14ac:dyDescent="0.2">
      <c r="A27" s="210" t="s">
        <v>506</v>
      </c>
      <c r="B27" s="211">
        <v>8.5</v>
      </c>
    </row>
    <row r="28" spans="1:14" x14ac:dyDescent="0.2">
      <c r="A28" s="210" t="s">
        <v>509</v>
      </c>
      <c r="B28" s="211">
        <v>20</v>
      </c>
    </row>
    <row r="29" spans="1:14" x14ac:dyDescent="0.2">
      <c r="A29" s="210" t="s">
        <v>581</v>
      </c>
      <c r="B29" s="211">
        <v>14</v>
      </c>
    </row>
    <row r="30" spans="1:14" x14ac:dyDescent="0.2">
      <c r="A30" s="210" t="s">
        <v>582</v>
      </c>
      <c r="B30" s="211">
        <v>19</v>
      </c>
    </row>
    <row r="31" spans="1:14" x14ac:dyDescent="0.2">
      <c r="A31" s="210" t="s">
        <v>515</v>
      </c>
      <c r="B31" s="211">
        <v>14.5</v>
      </c>
    </row>
    <row r="32" spans="1:14" x14ac:dyDescent="0.2">
      <c r="A32" s="210" t="s">
        <v>510</v>
      </c>
      <c r="B32" s="211">
        <v>9.5</v>
      </c>
      <c r="M32" s="27" t="s">
        <v>517</v>
      </c>
      <c r="N32" s="27" t="s">
        <v>518</v>
      </c>
    </row>
    <row r="33" spans="1:14" x14ac:dyDescent="0.2">
      <c r="A33" s="210" t="s">
        <v>511</v>
      </c>
      <c r="B33" s="210">
        <v>13.25</v>
      </c>
      <c r="L33" s="27">
        <v>1</v>
      </c>
      <c r="M33" s="27" t="s">
        <v>584</v>
      </c>
      <c r="N33" s="27" t="s">
        <v>519</v>
      </c>
    </row>
    <row r="34" spans="1:14" ht="13.5" customHeight="1" x14ac:dyDescent="0.2">
      <c r="L34" s="27">
        <v>2</v>
      </c>
      <c r="M34" s="27" t="s">
        <v>584</v>
      </c>
      <c r="N34" s="27" t="s">
        <v>519</v>
      </c>
    </row>
    <row r="35" spans="1:14" x14ac:dyDescent="0.2">
      <c r="L35" s="27">
        <v>3</v>
      </c>
      <c r="M35" s="27" t="s">
        <v>584</v>
      </c>
      <c r="N35" s="27" t="s">
        <v>519</v>
      </c>
    </row>
    <row r="36" spans="1:14" x14ac:dyDescent="0.2">
      <c r="L36" s="27">
        <v>4</v>
      </c>
      <c r="M36" s="27" t="s">
        <v>584</v>
      </c>
      <c r="N36" s="27" t="s">
        <v>519</v>
      </c>
    </row>
    <row r="37" spans="1:14" x14ac:dyDescent="0.2">
      <c r="L37" s="27">
        <v>5</v>
      </c>
      <c r="M37" s="27" t="s">
        <v>584</v>
      </c>
      <c r="N37" s="27" t="s">
        <v>519</v>
      </c>
    </row>
    <row r="38" spans="1:14" x14ac:dyDescent="0.2">
      <c r="L38" s="27">
        <v>6</v>
      </c>
      <c r="M38" s="27" t="s">
        <v>584</v>
      </c>
      <c r="N38" s="27" t="s">
        <v>519</v>
      </c>
    </row>
    <row r="39" spans="1:14" x14ac:dyDescent="0.2">
      <c r="L39" s="27">
        <v>7</v>
      </c>
      <c r="M39" s="27" t="s">
        <v>584</v>
      </c>
      <c r="N39" s="27" t="s">
        <v>519</v>
      </c>
    </row>
    <row r="40" spans="1:14" ht="13.5" thickBot="1" x14ac:dyDescent="0.25">
      <c r="A40" s="215" t="s">
        <v>517</v>
      </c>
      <c r="B40" s="215" t="s">
        <v>518</v>
      </c>
      <c r="D40" s="302" t="s">
        <v>517</v>
      </c>
      <c r="E40" s="303"/>
      <c r="F40" s="215" t="s">
        <v>518</v>
      </c>
      <c r="H40" s="215" t="s">
        <v>517</v>
      </c>
      <c r="I40" s="215" t="s">
        <v>518</v>
      </c>
      <c r="L40" s="27">
        <v>8</v>
      </c>
      <c r="M40" s="27" t="s">
        <v>584</v>
      </c>
      <c r="N40" s="27" t="s">
        <v>519</v>
      </c>
    </row>
    <row r="41" spans="1:14" ht="13.5" thickTop="1" x14ac:dyDescent="0.2">
      <c r="A41" s="214" t="str">
        <f>CONCATENATE(L33,"-",M33)</f>
        <v>1-Alfalfa</v>
      </c>
      <c r="B41" s="214" t="s">
        <v>519</v>
      </c>
      <c r="D41" s="305" t="str">
        <f t="shared" ref="D41:D62" si="0">CONCATENATE(L56,"-",M56)</f>
        <v>24-Corn</v>
      </c>
      <c r="E41" s="306" t="str">
        <f t="shared" ref="E41:E62" si="1">CONCATENATE(P33,"-",Q33)</f>
        <v>-</v>
      </c>
      <c r="F41" s="297" t="s">
        <v>519</v>
      </c>
      <c r="H41" s="214" t="str">
        <f t="shared" ref="H41:H62" si="2">CONCATENATE(L78,"-",M78)</f>
        <v>46-Soybeans</v>
      </c>
      <c r="I41" s="214" t="str">
        <f>CONCATENATE(T33,"-",U33)</f>
        <v>-</v>
      </c>
      <c r="L41" s="27">
        <v>9</v>
      </c>
      <c r="M41" s="27" t="s">
        <v>584</v>
      </c>
      <c r="N41" s="27" t="s">
        <v>519</v>
      </c>
    </row>
    <row r="42" spans="1:14" x14ac:dyDescent="0.2">
      <c r="A42" s="214" t="str">
        <f t="shared" ref="A42:A63" si="3">CONCATENATE(L34,"-",M34)</f>
        <v>2-Alfalfa</v>
      </c>
      <c r="B42" s="213" t="s">
        <v>519</v>
      </c>
      <c r="D42" s="305" t="str">
        <f t="shared" si="0"/>
        <v>25-Corn</v>
      </c>
      <c r="E42" s="306" t="str">
        <f t="shared" si="1"/>
        <v>-</v>
      </c>
      <c r="F42" s="213" t="s">
        <v>519</v>
      </c>
      <c r="H42" s="214" t="str">
        <f t="shared" si="2"/>
        <v>47-Soybeans</v>
      </c>
      <c r="I42" s="213" t="s">
        <v>519</v>
      </c>
      <c r="L42" s="27">
        <v>10</v>
      </c>
      <c r="M42" s="27" t="s">
        <v>584</v>
      </c>
      <c r="N42" s="27" t="s">
        <v>519</v>
      </c>
    </row>
    <row r="43" spans="1:14" x14ac:dyDescent="0.2">
      <c r="A43" s="214" t="str">
        <f t="shared" si="3"/>
        <v>3-Alfalfa</v>
      </c>
      <c r="B43" s="213" t="s">
        <v>519</v>
      </c>
      <c r="D43" s="305" t="str">
        <f t="shared" si="0"/>
        <v>26-Corn</v>
      </c>
      <c r="E43" s="306" t="str">
        <f t="shared" si="1"/>
        <v>-</v>
      </c>
      <c r="F43" s="213" t="s">
        <v>519</v>
      </c>
      <c r="H43" s="214" t="str">
        <f t="shared" si="2"/>
        <v>48-Soybeans</v>
      </c>
      <c r="I43" s="213" t="s">
        <v>519</v>
      </c>
      <c r="L43" s="27">
        <v>11</v>
      </c>
      <c r="M43" s="27" t="s">
        <v>584</v>
      </c>
      <c r="N43" s="27" t="s">
        <v>519</v>
      </c>
    </row>
    <row r="44" spans="1:14" x14ac:dyDescent="0.2">
      <c r="A44" s="214" t="str">
        <f t="shared" si="3"/>
        <v>4-Alfalfa</v>
      </c>
      <c r="B44" s="213" t="s">
        <v>519</v>
      </c>
      <c r="D44" s="305" t="str">
        <f t="shared" si="0"/>
        <v>27-Corn</v>
      </c>
      <c r="E44" s="306" t="str">
        <f t="shared" si="1"/>
        <v>-</v>
      </c>
      <c r="F44" s="213" t="s">
        <v>519</v>
      </c>
      <c r="H44" s="214" t="str">
        <f t="shared" si="2"/>
        <v>49-Soybeans</v>
      </c>
      <c r="I44" s="213" t="s">
        <v>519</v>
      </c>
      <c r="L44" s="27">
        <v>12</v>
      </c>
      <c r="M44" s="27" t="s">
        <v>584</v>
      </c>
      <c r="N44" s="27" t="s">
        <v>519</v>
      </c>
    </row>
    <row r="45" spans="1:14" x14ac:dyDescent="0.2">
      <c r="A45" s="214" t="str">
        <f t="shared" si="3"/>
        <v>5-Alfalfa</v>
      </c>
      <c r="B45" s="213" t="s">
        <v>519</v>
      </c>
      <c r="D45" s="305" t="str">
        <f t="shared" si="0"/>
        <v>28-Corn</v>
      </c>
      <c r="E45" s="306" t="str">
        <f t="shared" si="1"/>
        <v>-</v>
      </c>
      <c r="F45" s="213" t="s">
        <v>519</v>
      </c>
      <c r="H45" s="214" t="str">
        <f t="shared" si="2"/>
        <v>50-Soybeans</v>
      </c>
      <c r="I45" s="213" t="s">
        <v>519</v>
      </c>
      <c r="L45" s="27">
        <v>13</v>
      </c>
      <c r="M45" s="27" t="s">
        <v>584</v>
      </c>
      <c r="N45" s="27" t="s">
        <v>519</v>
      </c>
    </row>
    <row r="46" spans="1:14" x14ac:dyDescent="0.2">
      <c r="A46" s="214" t="str">
        <f t="shared" si="3"/>
        <v>6-Alfalfa</v>
      </c>
      <c r="B46" s="213" t="s">
        <v>519</v>
      </c>
      <c r="D46" s="305" t="str">
        <f t="shared" si="0"/>
        <v>29-Corn</v>
      </c>
      <c r="E46" s="306" t="str">
        <f t="shared" si="1"/>
        <v>-</v>
      </c>
      <c r="F46" s="213" t="s">
        <v>519</v>
      </c>
      <c r="H46" s="214" t="str">
        <f t="shared" si="2"/>
        <v>51-Soybeans</v>
      </c>
      <c r="I46" s="213" t="s">
        <v>519</v>
      </c>
      <c r="L46" s="27">
        <v>14</v>
      </c>
      <c r="M46" s="27" t="s">
        <v>584</v>
      </c>
      <c r="N46" s="27" t="s">
        <v>519</v>
      </c>
    </row>
    <row r="47" spans="1:14" x14ac:dyDescent="0.2">
      <c r="A47" s="214" t="str">
        <f t="shared" si="3"/>
        <v>7-Alfalfa</v>
      </c>
      <c r="B47" s="213" t="s">
        <v>519</v>
      </c>
      <c r="D47" s="305" t="str">
        <f t="shared" si="0"/>
        <v>30-Dry Beans</v>
      </c>
      <c r="E47" s="306" t="str">
        <f t="shared" si="1"/>
        <v>-</v>
      </c>
      <c r="F47" s="213" t="s">
        <v>519</v>
      </c>
      <c r="H47" s="214" t="str">
        <f t="shared" si="2"/>
        <v>52-Soybeans</v>
      </c>
      <c r="I47" s="213" t="s">
        <v>519</v>
      </c>
      <c r="L47" s="27">
        <v>15</v>
      </c>
      <c r="M47" s="27" t="s">
        <v>23</v>
      </c>
      <c r="N47" s="27" t="s">
        <v>520</v>
      </c>
    </row>
    <row r="48" spans="1:14" x14ac:dyDescent="0.2">
      <c r="A48" s="214" t="str">
        <f t="shared" si="3"/>
        <v>8-Alfalfa</v>
      </c>
      <c r="B48" s="213" t="s">
        <v>519</v>
      </c>
      <c r="D48" s="305" t="str">
        <f t="shared" si="0"/>
        <v>31-Dry Beans</v>
      </c>
      <c r="E48" s="306" t="str">
        <f t="shared" si="1"/>
        <v>-</v>
      </c>
      <c r="F48" s="213" t="s">
        <v>519</v>
      </c>
      <c r="H48" s="214" t="str">
        <f t="shared" si="2"/>
        <v>53-Soybeans</v>
      </c>
      <c r="I48" s="213" t="s">
        <v>519</v>
      </c>
      <c r="L48" s="27">
        <v>16</v>
      </c>
      <c r="M48" s="27" t="s">
        <v>23</v>
      </c>
      <c r="N48" s="27" t="s">
        <v>520</v>
      </c>
    </row>
    <row r="49" spans="1:14" x14ac:dyDescent="0.2">
      <c r="A49" s="214" t="str">
        <f t="shared" si="3"/>
        <v>9-Alfalfa</v>
      </c>
      <c r="B49" s="213" t="s">
        <v>520</v>
      </c>
      <c r="D49" s="305" t="str">
        <f t="shared" si="0"/>
        <v>32-Dry Beans</v>
      </c>
      <c r="E49" s="306" t="str">
        <f t="shared" si="1"/>
        <v>-</v>
      </c>
      <c r="F49" s="213" t="s">
        <v>520</v>
      </c>
      <c r="H49" s="214" t="str">
        <f t="shared" si="2"/>
        <v>54-Sugar Beets</v>
      </c>
      <c r="I49" s="213" t="s">
        <v>520</v>
      </c>
      <c r="L49" s="27">
        <v>17</v>
      </c>
      <c r="M49" s="27" t="s">
        <v>23</v>
      </c>
      <c r="N49" s="27" t="s">
        <v>520</v>
      </c>
    </row>
    <row r="50" spans="1:14" x14ac:dyDescent="0.2">
      <c r="A50" s="214" t="str">
        <f t="shared" si="3"/>
        <v>10-Alfalfa</v>
      </c>
      <c r="B50" s="213" t="s">
        <v>520</v>
      </c>
      <c r="D50" s="305" t="str">
        <f t="shared" si="0"/>
        <v>33-Dry Beans</v>
      </c>
      <c r="E50" s="306" t="str">
        <f t="shared" si="1"/>
        <v>-</v>
      </c>
      <c r="F50" s="213" t="s">
        <v>520</v>
      </c>
      <c r="H50" s="214" t="str">
        <f t="shared" si="2"/>
        <v>55-Sugar Beets</v>
      </c>
      <c r="I50" s="213" t="s">
        <v>520</v>
      </c>
      <c r="L50" s="27">
        <v>18</v>
      </c>
      <c r="M50" s="27" t="s">
        <v>23</v>
      </c>
      <c r="N50" s="27" t="s">
        <v>520</v>
      </c>
    </row>
    <row r="51" spans="1:14" x14ac:dyDescent="0.2">
      <c r="A51" s="214" t="str">
        <f t="shared" si="3"/>
        <v>11-Alfalfa</v>
      </c>
      <c r="B51" s="213" t="s">
        <v>520</v>
      </c>
      <c r="D51" s="305" t="str">
        <f t="shared" si="0"/>
        <v>34-Grain Sorghum</v>
      </c>
      <c r="E51" s="306" t="str">
        <f t="shared" si="1"/>
        <v>-</v>
      </c>
      <c r="F51" s="213" t="s">
        <v>520</v>
      </c>
      <c r="H51" s="214" t="str">
        <f t="shared" si="2"/>
        <v>56-Sugar Beets</v>
      </c>
      <c r="I51" s="213" t="s">
        <v>520</v>
      </c>
      <c r="L51" s="27">
        <v>19</v>
      </c>
      <c r="M51" s="27" t="s">
        <v>23</v>
      </c>
      <c r="N51" s="27" t="s">
        <v>525</v>
      </c>
    </row>
    <row r="52" spans="1:14" x14ac:dyDescent="0.2">
      <c r="A52" s="214" t="str">
        <f t="shared" si="3"/>
        <v>12-Alfalfa</v>
      </c>
      <c r="B52" s="213" t="s">
        <v>520</v>
      </c>
      <c r="D52" s="305" t="str">
        <f t="shared" si="0"/>
        <v>35-Grain Sorghum</v>
      </c>
      <c r="E52" s="306" t="str">
        <f t="shared" si="1"/>
        <v>-</v>
      </c>
      <c r="F52" s="213" t="s">
        <v>520</v>
      </c>
      <c r="H52" s="214" t="str">
        <f t="shared" si="2"/>
        <v>57-Sugar Beets</v>
      </c>
      <c r="I52" s="213" t="s">
        <v>520</v>
      </c>
      <c r="L52" s="27">
        <v>20</v>
      </c>
      <c r="M52" s="27" t="s">
        <v>23</v>
      </c>
      <c r="N52" s="27" t="s">
        <v>520</v>
      </c>
    </row>
    <row r="53" spans="1:14" x14ac:dyDescent="0.2">
      <c r="A53" s="214" t="str">
        <f t="shared" si="3"/>
        <v>13-Alfalfa</v>
      </c>
      <c r="B53" s="213" t="s">
        <v>520</v>
      </c>
      <c r="D53" s="305" t="str">
        <f t="shared" si="0"/>
        <v>36-Grain Sorghum</v>
      </c>
      <c r="E53" s="306" t="str">
        <f t="shared" si="1"/>
        <v>-</v>
      </c>
      <c r="F53" s="213" t="s">
        <v>520</v>
      </c>
      <c r="H53" s="214" t="str">
        <f t="shared" si="2"/>
        <v>58-Sunflower</v>
      </c>
      <c r="I53" s="213" t="s">
        <v>520</v>
      </c>
      <c r="L53" s="27">
        <v>21</v>
      </c>
      <c r="M53" s="27" t="s">
        <v>23</v>
      </c>
      <c r="N53" s="27" t="s">
        <v>520</v>
      </c>
    </row>
    <row r="54" spans="1:14" x14ac:dyDescent="0.2">
      <c r="A54" s="214" t="str">
        <f t="shared" si="3"/>
        <v>14-Alfalfa</v>
      </c>
      <c r="B54" s="213" t="s">
        <v>520</v>
      </c>
      <c r="D54" s="305" t="str">
        <f t="shared" si="0"/>
        <v>37-Grain Sorghum</v>
      </c>
      <c r="E54" s="306" t="str">
        <f t="shared" si="1"/>
        <v>-</v>
      </c>
      <c r="F54" s="213" t="s">
        <v>520</v>
      </c>
      <c r="H54" s="214" t="str">
        <f t="shared" si="2"/>
        <v>59-Sunflower</v>
      </c>
      <c r="I54" s="213" t="s">
        <v>520</v>
      </c>
      <c r="L54" s="27">
        <v>22</v>
      </c>
      <c r="M54" s="27" t="s">
        <v>23</v>
      </c>
      <c r="N54" s="27" t="s">
        <v>520</v>
      </c>
    </row>
    <row r="55" spans="1:14" x14ac:dyDescent="0.2">
      <c r="A55" s="214" t="str">
        <f t="shared" si="3"/>
        <v>15-Corn</v>
      </c>
      <c r="B55" s="213" t="s">
        <v>520</v>
      </c>
      <c r="D55" s="305" t="str">
        <f t="shared" si="0"/>
        <v>38-Grass</v>
      </c>
      <c r="E55" s="306" t="str">
        <f t="shared" si="1"/>
        <v>-</v>
      </c>
      <c r="F55" s="213" t="s">
        <v>520</v>
      </c>
      <c r="H55" s="214" t="str">
        <f t="shared" si="2"/>
        <v>60-Sunflower</v>
      </c>
      <c r="I55" s="213" t="s">
        <v>520</v>
      </c>
      <c r="L55" s="27">
        <v>23</v>
      </c>
      <c r="M55" s="27" t="s">
        <v>23</v>
      </c>
      <c r="N55" s="27" t="s">
        <v>520</v>
      </c>
    </row>
    <row r="56" spans="1:14" x14ac:dyDescent="0.2">
      <c r="A56" s="214" t="str">
        <f t="shared" si="3"/>
        <v>16-Corn</v>
      </c>
      <c r="B56" s="213" t="s">
        <v>520</v>
      </c>
      <c r="D56" s="305" t="str">
        <f t="shared" si="0"/>
        <v>39-Grass Hay</v>
      </c>
      <c r="E56" s="306" t="str">
        <f t="shared" si="1"/>
        <v>-</v>
      </c>
      <c r="F56" s="213" t="s">
        <v>520</v>
      </c>
      <c r="H56" s="214" t="str">
        <f t="shared" si="2"/>
        <v>61-Wheat</v>
      </c>
      <c r="I56" s="213" t="s">
        <v>520</v>
      </c>
      <c r="L56" s="27">
        <v>24</v>
      </c>
      <c r="M56" s="27" t="s">
        <v>23</v>
      </c>
      <c r="N56" s="27" t="s">
        <v>520</v>
      </c>
    </row>
    <row r="57" spans="1:14" x14ac:dyDescent="0.2">
      <c r="A57" s="214" t="str">
        <f t="shared" si="3"/>
        <v>17-Corn</v>
      </c>
      <c r="B57" s="213" t="s">
        <v>520</v>
      </c>
      <c r="D57" s="305" t="str">
        <f t="shared" si="0"/>
        <v>40-Millet</v>
      </c>
      <c r="E57" s="306" t="str">
        <f t="shared" si="1"/>
        <v>-</v>
      </c>
      <c r="F57" s="213" t="s">
        <v>520</v>
      </c>
      <c r="H57" s="214" t="str">
        <f t="shared" si="2"/>
        <v>62-Wheat</v>
      </c>
      <c r="I57" s="213" t="s">
        <v>520</v>
      </c>
      <c r="L57" s="27">
        <v>25</v>
      </c>
      <c r="M57" s="27" t="s">
        <v>23</v>
      </c>
      <c r="N57" s="27" t="s">
        <v>520</v>
      </c>
    </row>
    <row r="58" spans="1:14" x14ac:dyDescent="0.2">
      <c r="A58" s="214" t="str">
        <f t="shared" si="3"/>
        <v>18-Corn</v>
      </c>
      <c r="B58" s="213" t="s">
        <v>520</v>
      </c>
      <c r="D58" s="305" t="str">
        <f t="shared" si="0"/>
        <v>41-Millet</v>
      </c>
      <c r="E58" s="306" t="str">
        <f t="shared" si="1"/>
        <v>-</v>
      </c>
      <c r="F58" s="213" t="s">
        <v>520</v>
      </c>
      <c r="H58" s="214" t="str">
        <f t="shared" si="2"/>
        <v>63-Wheat</v>
      </c>
      <c r="I58" s="213" t="s">
        <v>520</v>
      </c>
      <c r="L58" s="27">
        <v>26</v>
      </c>
      <c r="M58" s="27" t="s">
        <v>23</v>
      </c>
      <c r="N58" s="27" t="s">
        <v>520</v>
      </c>
    </row>
    <row r="59" spans="1:14" x14ac:dyDescent="0.2">
      <c r="A59" s="214" t="str">
        <f t="shared" si="3"/>
        <v>19-Corn</v>
      </c>
      <c r="B59" s="213" t="s">
        <v>520</v>
      </c>
      <c r="D59" s="305" t="str">
        <f t="shared" si="0"/>
        <v>42-Oats</v>
      </c>
      <c r="E59" s="306" t="str">
        <f t="shared" si="1"/>
        <v>-</v>
      </c>
      <c r="F59" s="213" t="s">
        <v>520</v>
      </c>
      <c r="H59" s="214" t="str">
        <f t="shared" si="2"/>
        <v>64-Wheat</v>
      </c>
      <c r="I59" s="213" t="s">
        <v>520</v>
      </c>
      <c r="L59" s="27">
        <v>27</v>
      </c>
      <c r="M59" s="27" t="s">
        <v>23</v>
      </c>
      <c r="N59" s="27" t="s">
        <v>520</v>
      </c>
    </row>
    <row r="60" spans="1:14" x14ac:dyDescent="0.2">
      <c r="A60" s="214" t="str">
        <f t="shared" si="3"/>
        <v>20-Corn</v>
      </c>
      <c r="B60" s="213" t="s">
        <v>520</v>
      </c>
      <c r="D60" s="305" t="str">
        <f t="shared" si="0"/>
        <v>43-Pasture</v>
      </c>
      <c r="E60" s="306" t="str">
        <f t="shared" si="1"/>
        <v>-</v>
      </c>
      <c r="F60" s="213" t="s">
        <v>520</v>
      </c>
      <c r="H60" s="214" t="str">
        <f t="shared" si="2"/>
        <v>65-Wheat</v>
      </c>
      <c r="I60" s="213" t="s">
        <v>520</v>
      </c>
      <c r="L60" s="27">
        <v>28</v>
      </c>
      <c r="M60" s="27" t="s">
        <v>23</v>
      </c>
      <c r="N60" s="27" t="s">
        <v>520</v>
      </c>
    </row>
    <row r="61" spans="1:14" x14ac:dyDescent="0.2">
      <c r="A61" s="214" t="str">
        <f t="shared" si="3"/>
        <v>21-Corn</v>
      </c>
      <c r="B61" s="213" t="s">
        <v>521</v>
      </c>
      <c r="D61" s="305" t="str">
        <f t="shared" si="0"/>
        <v>44-Peas</v>
      </c>
      <c r="E61" s="306" t="str">
        <f t="shared" si="1"/>
        <v>-</v>
      </c>
      <c r="F61" s="213" t="s">
        <v>521</v>
      </c>
      <c r="H61" s="214" t="str">
        <f t="shared" si="2"/>
        <v>66-Wheat</v>
      </c>
      <c r="I61" s="213" t="s">
        <v>521</v>
      </c>
      <c r="L61" s="27">
        <v>29</v>
      </c>
      <c r="M61" s="27" t="s">
        <v>23</v>
      </c>
      <c r="N61" s="27" t="s">
        <v>520</v>
      </c>
    </row>
    <row r="62" spans="1:14" x14ac:dyDescent="0.2">
      <c r="A62" s="214" t="str">
        <f t="shared" si="3"/>
        <v>22-Corn</v>
      </c>
      <c r="B62" s="213" t="s">
        <v>521</v>
      </c>
      <c r="D62" s="305" t="str">
        <f t="shared" si="0"/>
        <v>45-Sorghum-Sudan</v>
      </c>
      <c r="E62" s="306" t="str">
        <f t="shared" si="1"/>
        <v>-</v>
      </c>
      <c r="F62" s="213" t="s">
        <v>521</v>
      </c>
      <c r="H62" s="214" t="str">
        <f t="shared" si="2"/>
        <v>67-Wheat</v>
      </c>
      <c r="I62" s="213" t="s">
        <v>521</v>
      </c>
      <c r="L62" s="27">
        <v>30</v>
      </c>
      <c r="M62" s="27" t="s">
        <v>585</v>
      </c>
      <c r="N62" s="27" t="s">
        <v>521</v>
      </c>
    </row>
    <row r="63" spans="1:14" x14ac:dyDescent="0.2">
      <c r="A63" s="214" t="str">
        <f t="shared" si="3"/>
        <v>23-Corn</v>
      </c>
      <c r="B63" s="213" t="s">
        <v>521</v>
      </c>
      <c r="L63" s="27">
        <v>31</v>
      </c>
      <c r="M63" s="27" t="s">
        <v>585</v>
      </c>
      <c r="N63" s="27" t="s">
        <v>521</v>
      </c>
    </row>
    <row r="64" spans="1:14" x14ac:dyDescent="0.2">
      <c r="L64" s="27">
        <v>32</v>
      </c>
      <c r="M64" s="27" t="s">
        <v>585</v>
      </c>
      <c r="N64" s="27" t="s">
        <v>521</v>
      </c>
    </row>
    <row r="65" spans="12:14" x14ac:dyDescent="0.2">
      <c r="L65" s="27">
        <v>33</v>
      </c>
      <c r="M65" s="27" t="s">
        <v>585</v>
      </c>
      <c r="N65" s="27" t="s">
        <v>521</v>
      </c>
    </row>
    <row r="66" spans="12:14" x14ac:dyDescent="0.2">
      <c r="L66" s="27">
        <v>34</v>
      </c>
      <c r="M66" s="27" t="s">
        <v>586</v>
      </c>
      <c r="N66" s="27" t="s">
        <v>522</v>
      </c>
    </row>
    <row r="67" spans="12:14" x14ac:dyDescent="0.2">
      <c r="L67" s="27">
        <v>35</v>
      </c>
      <c r="M67" s="27" t="s">
        <v>586</v>
      </c>
      <c r="N67" s="27" t="s">
        <v>522</v>
      </c>
    </row>
    <row r="68" spans="12:14" x14ac:dyDescent="0.2">
      <c r="L68" s="27">
        <v>36</v>
      </c>
      <c r="M68" s="27" t="s">
        <v>586</v>
      </c>
      <c r="N68" s="27" t="s">
        <v>522</v>
      </c>
    </row>
    <row r="69" spans="12:14" x14ac:dyDescent="0.2">
      <c r="L69" s="27">
        <v>37</v>
      </c>
      <c r="M69" s="27" t="s">
        <v>586</v>
      </c>
      <c r="N69" s="27" t="s">
        <v>522</v>
      </c>
    </row>
    <row r="70" spans="12:14" x14ac:dyDescent="0.2">
      <c r="L70" s="27">
        <v>38</v>
      </c>
      <c r="M70" s="27" t="s">
        <v>587</v>
      </c>
      <c r="N70" s="27" t="s">
        <v>519</v>
      </c>
    </row>
    <row r="71" spans="12:14" x14ac:dyDescent="0.2">
      <c r="L71" s="27">
        <v>39</v>
      </c>
      <c r="M71" s="27" t="s">
        <v>588</v>
      </c>
      <c r="N71" s="27" t="s">
        <v>519</v>
      </c>
    </row>
    <row r="72" spans="12:14" x14ac:dyDescent="0.2">
      <c r="L72" s="27">
        <v>40</v>
      </c>
      <c r="M72" s="27" t="s">
        <v>43</v>
      </c>
      <c r="N72" s="27" t="s">
        <v>521</v>
      </c>
    </row>
    <row r="73" spans="12:14" x14ac:dyDescent="0.2">
      <c r="L73" s="27">
        <v>41</v>
      </c>
      <c r="M73" s="27" t="s">
        <v>43</v>
      </c>
      <c r="N73" s="27" t="s">
        <v>521</v>
      </c>
    </row>
    <row r="74" spans="12:14" x14ac:dyDescent="0.2">
      <c r="L74" s="27">
        <v>42</v>
      </c>
      <c r="M74" s="27" t="s">
        <v>46</v>
      </c>
      <c r="N74" s="27" t="s">
        <v>523</v>
      </c>
    </row>
    <row r="75" spans="12:14" x14ac:dyDescent="0.2">
      <c r="L75" s="27">
        <v>43</v>
      </c>
      <c r="M75" s="27" t="s">
        <v>589</v>
      </c>
      <c r="N75" s="27" t="s">
        <v>519</v>
      </c>
    </row>
    <row r="76" spans="12:14" x14ac:dyDescent="0.2">
      <c r="L76" s="27">
        <v>44</v>
      </c>
      <c r="M76" s="27" t="s">
        <v>559</v>
      </c>
      <c r="N76" s="27" t="s">
        <v>519</v>
      </c>
    </row>
    <row r="77" spans="12:14" x14ac:dyDescent="0.2">
      <c r="L77" s="27">
        <v>45</v>
      </c>
      <c r="M77" s="27" t="s">
        <v>590</v>
      </c>
      <c r="N77" s="27" t="s">
        <v>519</v>
      </c>
    </row>
    <row r="78" spans="12:14" x14ac:dyDescent="0.2">
      <c r="L78" s="27">
        <v>46</v>
      </c>
      <c r="M78" s="27" t="s">
        <v>591</v>
      </c>
      <c r="N78" s="27" t="s">
        <v>520</v>
      </c>
    </row>
    <row r="79" spans="12:14" x14ac:dyDescent="0.2">
      <c r="L79" s="27">
        <v>47</v>
      </c>
      <c r="M79" s="27" t="s">
        <v>591</v>
      </c>
      <c r="N79" s="27" t="s">
        <v>520</v>
      </c>
    </row>
    <row r="80" spans="12:14" x14ac:dyDescent="0.2">
      <c r="L80" s="27">
        <v>48</v>
      </c>
      <c r="M80" s="27" t="s">
        <v>591</v>
      </c>
      <c r="N80" s="27" t="s">
        <v>520</v>
      </c>
    </row>
    <row r="81" spans="12:14" x14ac:dyDescent="0.2">
      <c r="L81" s="27">
        <v>49</v>
      </c>
      <c r="M81" s="27" t="s">
        <v>591</v>
      </c>
      <c r="N81" s="27" t="s">
        <v>520</v>
      </c>
    </row>
    <row r="82" spans="12:14" x14ac:dyDescent="0.2">
      <c r="L82" s="27">
        <v>50</v>
      </c>
      <c r="M82" s="27" t="s">
        <v>591</v>
      </c>
      <c r="N82" s="27" t="s">
        <v>520</v>
      </c>
    </row>
    <row r="83" spans="12:14" x14ac:dyDescent="0.2">
      <c r="L83" s="27">
        <v>51</v>
      </c>
      <c r="M83" s="27" t="s">
        <v>591</v>
      </c>
      <c r="N83" s="27" t="s">
        <v>520</v>
      </c>
    </row>
    <row r="84" spans="12:14" x14ac:dyDescent="0.2">
      <c r="L84" s="27">
        <v>52</v>
      </c>
      <c r="M84" s="27" t="s">
        <v>591</v>
      </c>
      <c r="N84" s="27" t="s">
        <v>520</v>
      </c>
    </row>
    <row r="85" spans="12:14" x14ac:dyDescent="0.2">
      <c r="L85" s="27">
        <v>53</v>
      </c>
      <c r="M85" s="27" t="s">
        <v>591</v>
      </c>
      <c r="N85" s="27" t="s">
        <v>520</v>
      </c>
    </row>
    <row r="86" spans="12:14" x14ac:dyDescent="0.2">
      <c r="L86" s="27">
        <v>54</v>
      </c>
      <c r="M86" s="27" t="s">
        <v>509</v>
      </c>
      <c r="N86" s="27" t="s">
        <v>524</v>
      </c>
    </row>
    <row r="87" spans="12:14" x14ac:dyDescent="0.2">
      <c r="L87" s="27">
        <v>55</v>
      </c>
      <c r="M87" s="27" t="s">
        <v>509</v>
      </c>
      <c r="N87" s="27" t="s">
        <v>524</v>
      </c>
    </row>
    <row r="88" spans="12:14" x14ac:dyDescent="0.2">
      <c r="L88" s="27">
        <v>56</v>
      </c>
      <c r="M88" s="27" t="s">
        <v>509</v>
      </c>
      <c r="N88" s="27" t="s">
        <v>524</v>
      </c>
    </row>
    <row r="89" spans="12:14" x14ac:dyDescent="0.2">
      <c r="L89" s="27">
        <v>57</v>
      </c>
      <c r="M89" s="27" t="s">
        <v>509</v>
      </c>
      <c r="N89" s="27" t="s">
        <v>524</v>
      </c>
    </row>
    <row r="90" spans="12:14" x14ac:dyDescent="0.2">
      <c r="L90" s="27">
        <v>58</v>
      </c>
      <c r="M90" s="27" t="s">
        <v>58</v>
      </c>
      <c r="N90" s="27" t="s">
        <v>525</v>
      </c>
    </row>
    <row r="91" spans="12:14" x14ac:dyDescent="0.2">
      <c r="L91" s="27">
        <v>59</v>
      </c>
      <c r="M91" s="27" t="s">
        <v>58</v>
      </c>
      <c r="N91" s="27" t="s">
        <v>525</v>
      </c>
    </row>
    <row r="92" spans="12:14" x14ac:dyDescent="0.2">
      <c r="L92" s="27">
        <v>60</v>
      </c>
      <c r="M92" s="27" t="s">
        <v>58</v>
      </c>
      <c r="N92" s="27" t="s">
        <v>525</v>
      </c>
    </row>
    <row r="93" spans="12:14" x14ac:dyDescent="0.2">
      <c r="L93" s="27">
        <v>61</v>
      </c>
      <c r="M93" s="27" t="s">
        <v>592</v>
      </c>
      <c r="N93" s="27" t="s">
        <v>526</v>
      </c>
    </row>
    <row r="94" spans="12:14" x14ac:dyDescent="0.2">
      <c r="L94" s="27">
        <v>62</v>
      </c>
      <c r="M94" s="27" t="s">
        <v>592</v>
      </c>
      <c r="N94" s="27" t="s">
        <v>526</v>
      </c>
    </row>
    <row r="95" spans="12:14" x14ac:dyDescent="0.2">
      <c r="L95" s="27">
        <v>63</v>
      </c>
      <c r="M95" s="27" t="s">
        <v>592</v>
      </c>
      <c r="N95" s="27" t="s">
        <v>526</v>
      </c>
    </row>
    <row r="96" spans="12:14" x14ac:dyDescent="0.2">
      <c r="L96" s="27">
        <v>64</v>
      </c>
      <c r="M96" s="27" t="s">
        <v>592</v>
      </c>
      <c r="N96" s="27" t="s">
        <v>526</v>
      </c>
    </row>
    <row r="97" spans="12:14" x14ac:dyDescent="0.2">
      <c r="L97" s="27">
        <v>65</v>
      </c>
      <c r="M97" s="27" t="s">
        <v>592</v>
      </c>
      <c r="N97" s="27" t="s">
        <v>526</v>
      </c>
    </row>
    <row r="98" spans="12:14" x14ac:dyDescent="0.2">
      <c r="L98" s="27">
        <v>66</v>
      </c>
      <c r="M98" s="27" t="s">
        <v>592</v>
      </c>
      <c r="N98" s="27" t="s">
        <v>526</v>
      </c>
    </row>
    <row r="99" spans="12:14" x14ac:dyDescent="0.2">
      <c r="L99" s="27">
        <v>67</v>
      </c>
      <c r="M99" s="27" t="s">
        <v>592</v>
      </c>
      <c r="N99" s="27" t="s">
        <v>526</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4" customWidth="1"/>
    <col min="2" max="2" width="30.5703125" style="94" customWidth="1"/>
    <col min="3" max="3" width="35" style="94" customWidth="1"/>
    <col min="4" max="5" width="11.5703125" style="94" customWidth="1"/>
    <col min="6" max="6" width="13.28515625" style="94" customWidth="1"/>
    <col min="7" max="7" width="13.7109375" style="94" customWidth="1"/>
    <col min="8" max="9" width="11.7109375" style="94" customWidth="1"/>
    <col min="10" max="10" width="10.28515625" style="94" customWidth="1"/>
    <col min="11" max="11" width="13.28515625" style="94" customWidth="1"/>
    <col min="12" max="12" width="14" style="94" customWidth="1"/>
    <col min="13" max="13" width="12.28515625" style="94" customWidth="1"/>
    <col min="14" max="14" width="9.85546875" style="94" customWidth="1"/>
    <col min="15" max="16" width="11.7109375" style="94" customWidth="1"/>
    <col min="17" max="17" width="32.85546875" style="94" bestFit="1" customWidth="1"/>
    <col min="18" max="18" width="35.5703125" style="94" customWidth="1"/>
    <col min="19" max="19" width="18.42578125" style="94" customWidth="1"/>
    <col min="20" max="20" width="12.28515625" style="94" customWidth="1"/>
    <col min="21" max="21" width="16" style="94" customWidth="1"/>
    <col min="22" max="22" width="11" style="94" customWidth="1"/>
    <col min="23" max="23" width="25.28515625" style="94" bestFit="1" customWidth="1"/>
    <col min="24" max="24" width="26.5703125" style="94" customWidth="1"/>
    <col min="25" max="25" width="42.140625" style="94" customWidth="1"/>
    <col min="26" max="26" width="6.7109375" style="94" customWidth="1"/>
    <col min="27" max="27" width="7.85546875" style="94" customWidth="1"/>
    <col min="28" max="16384" width="9.140625" style="94"/>
  </cols>
  <sheetData>
    <row r="1" spans="1:28" ht="47.25" customHeight="1" x14ac:dyDescent="0.25">
      <c r="A1" s="89" t="s">
        <v>109</v>
      </c>
      <c r="B1" s="90" t="s">
        <v>107</v>
      </c>
      <c r="C1" s="91" t="s">
        <v>108</v>
      </c>
      <c r="D1" s="91" t="s">
        <v>104</v>
      </c>
      <c r="E1" s="92" t="s">
        <v>365</v>
      </c>
      <c r="F1" s="91" t="s">
        <v>105</v>
      </c>
      <c r="G1" s="91" t="s">
        <v>273</v>
      </c>
      <c r="H1" s="93" t="s">
        <v>366</v>
      </c>
      <c r="I1" s="92" t="s">
        <v>367</v>
      </c>
      <c r="J1" s="92" t="s">
        <v>274</v>
      </c>
      <c r="K1" s="92" t="s">
        <v>368</v>
      </c>
      <c r="L1" s="92" t="s">
        <v>369</v>
      </c>
      <c r="M1" s="92" t="s">
        <v>275</v>
      </c>
      <c r="N1" s="92" t="s">
        <v>372</v>
      </c>
      <c r="O1" s="92" t="s">
        <v>373</v>
      </c>
      <c r="P1" s="92" t="s">
        <v>374</v>
      </c>
      <c r="R1" s="95" t="s">
        <v>111</v>
      </c>
      <c r="S1" s="96" t="s">
        <v>112</v>
      </c>
      <c r="T1" s="96" t="s">
        <v>113</v>
      </c>
      <c r="U1" s="96" t="s">
        <v>114</v>
      </c>
      <c r="V1" s="97" t="s">
        <v>115</v>
      </c>
      <c r="X1" s="3" t="s">
        <v>211</v>
      </c>
      <c r="Y1" s="3" t="s">
        <v>111</v>
      </c>
      <c r="Z1" s="3" t="s">
        <v>212</v>
      </c>
      <c r="AA1" s="3" t="s">
        <v>213</v>
      </c>
      <c r="AB1" s="3" t="s">
        <v>214</v>
      </c>
    </row>
    <row r="2" spans="1:28" ht="15.75" x14ac:dyDescent="0.25">
      <c r="A2" s="83" t="s">
        <v>469</v>
      </c>
      <c r="B2" s="84" t="s">
        <v>277</v>
      </c>
      <c r="C2" s="85" t="s">
        <v>279</v>
      </c>
      <c r="D2" s="86">
        <v>317791</v>
      </c>
      <c r="E2" s="87"/>
      <c r="F2" s="87">
        <v>10</v>
      </c>
      <c r="G2" s="87">
        <v>1500</v>
      </c>
      <c r="H2" s="87">
        <v>300</v>
      </c>
      <c r="I2" s="98">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99">
        <f>IF(PowerUnits[[#This Row],[Est. Hours per Year]]=0,0,(PowerUnits[[#This Row],[Calculated Beg Yr. Value]]-PowerUnits[[#This Row],[Calculated End Yr. Value]])/PowerUnits[[#This Row],[Est. Hours per Year]])</f>
        <v>27.617754525611574</v>
      </c>
      <c r="N2" s="99">
        <f>IF(PowerUnits[[#This Row],[Est. Hours per Year]]=0,0,PowerUnits[[#This Row],[Calculated Beg Yr. Value]]*'General Variables'!$B$9/PowerUnits[[#This Row],[Est. Hours per Year]])</f>
        <v>5.8639558784275136</v>
      </c>
      <c r="O2" s="99">
        <f>IF(PowerUnits[[#This Row],[Est. Hours per Year]]=0,0,PowerUnits[[#This Row],[Calculated Beg Yr. Value]]*'General Variables'!$B$10/PowerUnits[[#This Row],[Est. Hours per Year]])</f>
        <v>11.727911756855027</v>
      </c>
      <c r="P2" s="99">
        <f>SUM(PowerUnits[[#This Row],[Depreciation per Hour]:[Opportunity Cost per Hour]])</f>
        <v>45.209622160894114</v>
      </c>
      <c r="R2" s="100" t="s">
        <v>116</v>
      </c>
      <c r="S2" s="101" t="s">
        <v>117</v>
      </c>
      <c r="T2" s="102" t="s">
        <v>118</v>
      </c>
      <c r="U2" s="102" t="s">
        <v>119</v>
      </c>
      <c r="V2" s="103">
        <v>12000</v>
      </c>
      <c r="X2" s="3" t="s">
        <v>215</v>
      </c>
      <c r="Y2" s="3" t="s">
        <v>216</v>
      </c>
      <c r="Z2" s="3" t="s">
        <v>217</v>
      </c>
      <c r="AA2" s="3" t="s">
        <v>218</v>
      </c>
      <c r="AB2" s="3" t="s">
        <v>219</v>
      </c>
    </row>
    <row r="3" spans="1:28" ht="15.75" x14ac:dyDescent="0.25">
      <c r="A3" s="83" t="s">
        <v>470</v>
      </c>
      <c r="B3" s="84" t="s">
        <v>116</v>
      </c>
      <c r="C3" s="85" t="s">
        <v>279</v>
      </c>
      <c r="D3" s="86">
        <v>213972</v>
      </c>
      <c r="E3" s="87"/>
      <c r="F3" s="87">
        <v>5</v>
      </c>
      <c r="G3" s="87">
        <v>2500</v>
      </c>
      <c r="H3" s="87">
        <v>500</v>
      </c>
      <c r="I3" s="98">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99">
        <f>IF(PowerUnits[[#This Row],[Est. Hours per Year]]=0,0,(PowerUnits[[#This Row],[Calculated Beg Yr. Value]]-PowerUnits[[#This Row],[Calculated End Yr. Value]])/PowerUnits[[#This Row],[Est. Hours per Year]])</f>
        <v>17.630076475057518</v>
      </c>
      <c r="N3" s="99">
        <f>IF(PowerUnits[[#This Row],[Est. Hours per Year]]=0,0,PowerUnits[[#This Row],[Calculated Beg Yr. Value]]*'General Variables'!$B$9/PowerUnits[[#This Row],[Est. Hours per Year]])</f>
        <v>3.2362129973868727</v>
      </c>
      <c r="O3" s="99">
        <f>IF(PowerUnits[[#This Row],[Est. Hours per Year]]=0,0,PowerUnits[[#This Row],[Calculated Beg Yr. Value]]*'General Variables'!$B$10/PowerUnits[[#This Row],[Est. Hours per Year]])</f>
        <v>6.4724259947737455</v>
      </c>
      <c r="P3" s="99">
        <f>SUM(PowerUnits[[#This Row],[Depreciation per Hour]:[Opportunity Cost per Hour]])</f>
        <v>27.338715467218137</v>
      </c>
      <c r="R3" s="104" t="s">
        <v>120</v>
      </c>
      <c r="S3" s="104" t="s">
        <v>117</v>
      </c>
      <c r="T3" s="105" t="s">
        <v>121</v>
      </c>
      <c r="U3" s="105" t="s">
        <v>119</v>
      </c>
      <c r="V3" s="106">
        <v>16000</v>
      </c>
      <c r="X3" s="3" t="s">
        <v>215</v>
      </c>
      <c r="Y3" s="3" t="s">
        <v>220</v>
      </c>
      <c r="Z3" s="3" t="s">
        <v>221</v>
      </c>
      <c r="AA3" s="3" t="s">
        <v>222</v>
      </c>
      <c r="AB3" s="3" t="s">
        <v>223</v>
      </c>
    </row>
    <row r="4" spans="1:28" ht="15.75" x14ac:dyDescent="0.25">
      <c r="A4" s="83" t="s">
        <v>271</v>
      </c>
      <c r="B4" s="84" t="s">
        <v>278</v>
      </c>
      <c r="C4" s="85" t="s">
        <v>276</v>
      </c>
      <c r="D4" s="86">
        <v>317791</v>
      </c>
      <c r="E4" s="87"/>
      <c r="F4" s="87">
        <v>10</v>
      </c>
      <c r="G4" s="87">
        <v>1500</v>
      </c>
      <c r="H4" s="87">
        <v>300</v>
      </c>
      <c r="I4" s="98">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99">
        <f>IF(PowerUnits[[#This Row],[Est. Hours per Year]]=0,0,(PowerUnits[[#This Row],[Calculated Beg Yr. Value]]-PowerUnits[[#This Row],[Calculated End Yr. Value]])/PowerUnits[[#This Row],[Est. Hours per Year]])</f>
        <v>32.074559524309592</v>
      </c>
      <c r="N4" s="99">
        <f>IF(PowerUnits[[#This Row],[Est. Hours per Year]]=0,0,PowerUnits[[#This Row],[Calculated Beg Yr. Value]]*'General Variables'!$B$9/PowerUnits[[#This Row],[Est. Hours per Year]])</f>
        <v>1.961262746691167</v>
      </c>
      <c r="O4" s="99">
        <f>IF(PowerUnits[[#This Row],[Est. Hours per Year]]=0,0,PowerUnits[[#This Row],[Calculated Beg Yr. Value]]*'General Variables'!$B$10/PowerUnits[[#This Row],[Est. Hours per Year]])</f>
        <v>3.9225254933823339</v>
      </c>
      <c r="P4" s="99">
        <f>SUM(PowerUnits[[#This Row],[Depreciation per Hour]:[Opportunity Cost per Hour]])</f>
        <v>37.958347764383092</v>
      </c>
      <c r="R4" s="104" t="s">
        <v>142</v>
      </c>
      <c r="S4" s="104" t="s">
        <v>123</v>
      </c>
      <c r="T4" s="105" t="s">
        <v>143</v>
      </c>
      <c r="U4" s="105" t="s">
        <v>144</v>
      </c>
      <c r="V4" s="106">
        <v>3000</v>
      </c>
      <c r="X4" s="3" t="s">
        <v>215</v>
      </c>
      <c r="Y4" s="3" t="s">
        <v>224</v>
      </c>
      <c r="Z4" s="3" t="s">
        <v>225</v>
      </c>
      <c r="AA4" s="3" t="s">
        <v>226</v>
      </c>
      <c r="AB4" s="3" t="s">
        <v>227</v>
      </c>
    </row>
    <row r="5" spans="1:28" ht="15.75" x14ac:dyDescent="0.25">
      <c r="A5" s="83" t="s">
        <v>332</v>
      </c>
      <c r="B5" s="84" t="s">
        <v>116</v>
      </c>
      <c r="C5" s="85" t="s">
        <v>435</v>
      </c>
      <c r="D5" s="86">
        <v>15000</v>
      </c>
      <c r="E5" s="88"/>
      <c r="F5" s="87">
        <v>10</v>
      </c>
      <c r="G5" s="87">
        <v>2400</v>
      </c>
      <c r="H5" s="87">
        <v>800</v>
      </c>
      <c r="I5" s="98">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99">
        <f>IF(PowerUnits[[#This Row],[Est. Hours per Year]]=0,0,(PowerUnits[[#This Row],[Calculated Beg Yr. Value]]-PowerUnits[[#This Row],[Calculated End Yr. Value]])/PowerUnits[[#This Row],[Est. Hours per Year]])</f>
        <v>0.46421475603722229</v>
      </c>
      <c r="N5" s="99">
        <f>IF(PowerUnits[[#This Row],[Est. Hours per Year]]=0,0,PowerUnits[[#This Row],[Calculated Beg Yr. Value]]*'General Variables'!$B$9/PowerUnits[[#This Row],[Est. Hours per Year]])</f>
        <v>0.12902871128758067</v>
      </c>
      <c r="O5" s="99">
        <f>IF(PowerUnits[[#This Row],[Est. Hours per Year]]=0,0,PowerUnits[[#This Row],[Calculated Beg Yr. Value]]*'General Variables'!$B$10/PowerUnits[[#This Row],[Est. Hours per Year]])</f>
        <v>0.25805742257516134</v>
      </c>
      <c r="P5" s="99">
        <f>SUM(PowerUnits[[#This Row],[Depreciation per Hour]:[Opportunity Cost per Hour]])</f>
        <v>0.85130088989996433</v>
      </c>
      <c r="R5" s="104" t="s">
        <v>147</v>
      </c>
      <c r="S5" s="104" t="s">
        <v>123</v>
      </c>
      <c r="T5" s="105" t="s">
        <v>148</v>
      </c>
      <c r="U5" s="105" t="s">
        <v>125</v>
      </c>
      <c r="V5" s="106">
        <v>3000</v>
      </c>
      <c r="X5" s="3" t="s">
        <v>228</v>
      </c>
      <c r="Y5" s="3" t="s">
        <v>229</v>
      </c>
      <c r="Z5" s="3" t="s">
        <v>230</v>
      </c>
      <c r="AA5" s="3" t="s">
        <v>231</v>
      </c>
      <c r="AB5" s="3" t="s">
        <v>232</v>
      </c>
    </row>
    <row r="6" spans="1:28" ht="15.75" x14ac:dyDescent="0.25">
      <c r="A6" s="83" t="s">
        <v>334</v>
      </c>
      <c r="B6" s="84" t="s">
        <v>272</v>
      </c>
      <c r="C6" s="85" t="s">
        <v>333</v>
      </c>
      <c r="D6" s="86">
        <v>10000</v>
      </c>
      <c r="E6" s="87"/>
      <c r="F6" s="87">
        <v>5</v>
      </c>
      <c r="G6" s="87">
        <v>2400</v>
      </c>
      <c r="H6" s="87">
        <v>800</v>
      </c>
      <c r="I6" s="98">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99">
        <f>IF(PowerUnits[[#This Row],[Est. Hours per Year]]=0,0,(PowerUnits[[#This Row],[Calculated Beg Yr. Value]]-PowerUnits[[#This Row],[Calculated End Yr. Value]])/PowerUnits[[#This Row],[Est. Hours per Year]])</f>
        <v>0.72897548213518548</v>
      </c>
      <c r="N6" s="99">
        <f>IF(PowerUnits[[#This Row],[Est. Hours per Year]]=0,0,PowerUnits[[#This Row],[Calculated Beg Yr. Value]]*'General Variables'!$B$9/PowerUnits[[#This Row],[Est. Hours per Year]])</f>
        <v>5.9756992471332239E-2</v>
      </c>
      <c r="O6" s="99">
        <f>IF(PowerUnits[[#This Row],[Est. Hours per Year]]=0,0,PowerUnits[[#This Row],[Calculated Beg Yr. Value]]*'General Variables'!$B$10/PowerUnits[[#This Row],[Est. Hours per Year]])</f>
        <v>0.11951398494266448</v>
      </c>
      <c r="P6" s="99">
        <f>SUM(PowerUnits[[#This Row],[Depreciation per Hour]:[Opportunity Cost per Hour]])</f>
        <v>0.90824645954918226</v>
      </c>
      <c r="R6" s="104" t="s">
        <v>167</v>
      </c>
      <c r="S6" s="104" t="s">
        <v>123</v>
      </c>
      <c r="T6" s="105" t="s">
        <v>168</v>
      </c>
      <c r="U6" s="105" t="s">
        <v>119</v>
      </c>
      <c r="V6" s="106">
        <v>4000</v>
      </c>
      <c r="X6" s="3" t="s">
        <v>228</v>
      </c>
      <c r="Y6" s="3" t="s">
        <v>239</v>
      </c>
      <c r="Z6" s="3" t="s">
        <v>240</v>
      </c>
      <c r="AA6" s="3" t="s">
        <v>241</v>
      </c>
      <c r="AB6" s="3"/>
    </row>
    <row r="7" spans="1:28" ht="15.75" x14ac:dyDescent="0.25">
      <c r="A7" s="83" t="s">
        <v>400</v>
      </c>
      <c r="B7" s="84" t="s">
        <v>116</v>
      </c>
      <c r="C7" s="85" t="s">
        <v>333</v>
      </c>
      <c r="D7" s="86">
        <v>15000</v>
      </c>
      <c r="E7" s="88"/>
      <c r="F7" s="87">
        <v>10</v>
      </c>
      <c r="G7" s="87">
        <v>2400</v>
      </c>
      <c r="H7" s="87">
        <v>800</v>
      </c>
      <c r="I7" s="98">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99">
        <f>IF(PowerUnits[[#This Row],[Est. Hours per Year]]=0,0,(PowerUnits[[#This Row],[Calculated Beg Yr. Value]]-PowerUnits[[#This Row],[Calculated End Yr. Value]])/PowerUnits[[#This Row],[Est. Hours per Year]])</f>
        <v>0.81696331087635909</v>
      </c>
      <c r="N7" s="99">
        <f>IF(PowerUnits[[#This Row],[Est. Hours per Year]]=0,0,PowerUnits[[#This Row],[Calculated Beg Yr. Value]]*'General Variables'!$B$9/PowerUnits[[#This Row],[Est. Hours per Year]])</f>
        <v>6.0833082103406183E-2</v>
      </c>
      <c r="O7" s="99">
        <f>IF(PowerUnits[[#This Row],[Est. Hours per Year]]=0,0,PowerUnits[[#This Row],[Calculated Beg Yr. Value]]*'General Variables'!$B$10/PowerUnits[[#This Row],[Est. Hours per Year]])</f>
        <v>0.12166616420681237</v>
      </c>
      <c r="P7" s="99">
        <f>SUM(PowerUnits[[#This Row],[Depreciation per Hour]:[Opportunity Cost per Hour]])</f>
        <v>0.99946255718657762</v>
      </c>
      <c r="R7" s="104" t="s">
        <v>196</v>
      </c>
      <c r="S7" s="104" t="s">
        <v>123</v>
      </c>
      <c r="T7" s="105" t="s">
        <v>197</v>
      </c>
      <c r="U7" s="105" t="s">
        <v>119</v>
      </c>
      <c r="V7" s="106">
        <v>3000</v>
      </c>
      <c r="X7" s="3" t="s">
        <v>249</v>
      </c>
      <c r="Y7" s="3" t="s">
        <v>250</v>
      </c>
      <c r="Z7" s="3" t="s">
        <v>251</v>
      </c>
      <c r="AA7" s="3" t="s">
        <v>252</v>
      </c>
      <c r="AB7" s="3" t="s">
        <v>253</v>
      </c>
    </row>
    <row r="8" spans="1:28" ht="15.75" x14ac:dyDescent="0.25">
      <c r="A8" s="83" t="s">
        <v>330</v>
      </c>
      <c r="B8" s="84" t="s">
        <v>471</v>
      </c>
      <c r="C8" s="85" t="s">
        <v>331</v>
      </c>
      <c r="D8" s="86">
        <v>113989</v>
      </c>
      <c r="E8" s="87"/>
      <c r="F8" s="87">
        <v>10</v>
      </c>
      <c r="G8" s="87">
        <v>2500</v>
      </c>
      <c r="H8" s="87">
        <v>120</v>
      </c>
      <c r="I8" s="98">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99">
        <f>IF(PowerUnits[[#This Row],[Est. Hours per Year]]=0,0,(PowerUnits[[#This Row],[Calculated Beg Yr. Value]]-PowerUnits[[#This Row],[Calculated End Yr. Value]])/PowerUnits[[#This Row],[Est. Hours per Year]])</f>
        <v>13.240887725375341</v>
      </c>
      <c r="N8" s="99">
        <f>IF(PowerUnits[[#This Row],[Est. Hours per Year]]=0,0,PowerUnits[[#This Row],[Calculated Beg Yr. Value]]*'General Variables'!$B$9/PowerUnits[[#This Row],[Est. Hours per Year]])</f>
        <v>4.8111562070802307</v>
      </c>
      <c r="O8" s="99">
        <f>IF(PowerUnits[[#This Row],[Est. Hours per Year]]=0,0,PowerUnits[[#This Row],[Calculated Beg Yr. Value]]*'General Variables'!$B$10/PowerUnits[[#This Row],[Est. Hours per Year]])</f>
        <v>9.6223124141604615</v>
      </c>
      <c r="P8" s="99">
        <f>SUM(PowerUnits[[#This Row],[Depreciation per Hour]:[Opportunity Cost per Hour]])</f>
        <v>27.674356346616033</v>
      </c>
      <c r="R8" s="3" t="s">
        <v>272</v>
      </c>
      <c r="S8" s="3" t="s">
        <v>199</v>
      </c>
      <c r="T8" s="4">
        <v>0.02</v>
      </c>
      <c r="U8" s="4">
        <v>1.5</v>
      </c>
      <c r="V8" s="6"/>
    </row>
    <row r="9" spans="1:28" x14ac:dyDescent="0.2">
      <c r="A9" s="83" t="s">
        <v>458</v>
      </c>
      <c r="B9" s="84"/>
      <c r="C9" s="85"/>
      <c r="D9" s="86"/>
      <c r="E9" s="87"/>
      <c r="F9" s="87"/>
      <c r="G9" s="87"/>
      <c r="H9" s="87"/>
      <c r="I9" s="98">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99">
        <f>IF(PowerUnits[[#This Row],[Est. Hours per Year]]=0,0,(PowerUnits[[#This Row],[Calculated Beg Yr. Value]]-PowerUnits[[#This Row],[Calculated End Yr. Value]])/PowerUnits[[#This Row],[Est. Hours per Year]])</f>
        <v>0</v>
      </c>
      <c r="N9" s="99">
        <f>IF(PowerUnits[[#This Row],[Est. Hours per Year]]=0,0,PowerUnits[[#This Row],[Calculated Beg Yr. Value]]*'General Variables'!$B$9/PowerUnits[[#This Row],[Est. Hours per Year]])</f>
        <v>0</v>
      </c>
      <c r="O9" s="99">
        <f>IF(PowerUnits[[#This Row],[Est. Hours per Year]]=0,0,PowerUnits[[#This Row],[Calculated Beg Yr. Value]]*'General Variables'!$B$10/PowerUnits[[#This Row],[Est. Hours per Year]])</f>
        <v>0</v>
      </c>
      <c r="P9" s="99">
        <f>SUM(PowerUnits[[#This Row],[Depreciation per Hour]:[Opportunity Cost per Hour]])</f>
        <v>0</v>
      </c>
    </row>
    <row r="10" spans="1:28" x14ac:dyDescent="0.2">
      <c r="A10" s="83"/>
      <c r="B10" s="84"/>
      <c r="C10" s="85"/>
      <c r="D10" s="86"/>
      <c r="E10" s="87"/>
      <c r="F10" s="87"/>
      <c r="G10" s="87"/>
      <c r="H10" s="87"/>
      <c r="I10" s="98">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99">
        <f>IF(PowerUnits[[#This Row],[Est. Hours per Year]]=0,0,(PowerUnits[[#This Row],[Calculated Beg Yr. Value]]-PowerUnits[[#This Row],[Calculated End Yr. Value]])/PowerUnits[[#This Row],[Est. Hours per Year]])</f>
        <v>0</v>
      </c>
      <c r="N10" s="99">
        <f>IF(PowerUnits[[#This Row],[Est. Hours per Year]]=0,0,PowerUnits[[#This Row],[Calculated Beg Yr. Value]]*'General Variables'!$B$9/PowerUnits[[#This Row],[Est. Hours per Year]])</f>
        <v>0</v>
      </c>
      <c r="O10" s="99">
        <f>IF(PowerUnits[[#This Row],[Est. Hours per Year]]=0,0,PowerUnits[[#This Row],[Calculated Beg Yr. Value]]*'General Variables'!$B$10/PowerUnits[[#This Row],[Est. Hours per Year]])</f>
        <v>0</v>
      </c>
      <c r="P10" s="99">
        <f>SUM(PowerUnits[[#This Row],[Depreciation per Hour]:[Opportunity Cost per Hour]])</f>
        <v>0</v>
      </c>
    </row>
    <row r="11" spans="1:28" x14ac:dyDescent="0.2">
      <c r="A11" s="83"/>
      <c r="B11" s="84"/>
      <c r="C11" s="85"/>
      <c r="D11" s="86"/>
      <c r="E11" s="87"/>
      <c r="F11" s="87"/>
      <c r="G11" s="87"/>
      <c r="H11" s="87"/>
      <c r="I11" s="98">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99">
        <f>IF(PowerUnits[[#This Row],[Est. Hours per Year]]=0,0,(PowerUnits[[#This Row],[Calculated Beg Yr. Value]]-PowerUnits[[#This Row],[Calculated End Yr. Value]])/PowerUnits[[#This Row],[Est. Hours per Year]])</f>
        <v>0</v>
      </c>
      <c r="N11" s="99">
        <f>IF(PowerUnits[[#This Row],[Est. Hours per Year]]=0,0,PowerUnits[[#This Row],[Calculated Beg Yr. Value]]*'General Variables'!$B$9/PowerUnits[[#This Row],[Est. Hours per Year]])</f>
        <v>0</v>
      </c>
      <c r="O11" s="99">
        <f>IF(PowerUnits[[#This Row],[Est. Hours per Year]]=0,0,PowerUnits[[#This Row],[Calculated Beg Yr. Value]]*'General Variables'!$B$10/PowerUnits[[#This Row],[Est. Hours per Year]])</f>
        <v>0</v>
      </c>
      <c r="P11" s="99">
        <f>SUM(PowerUnits[[#This Row],[Depreciation per Hour]:[Opportunity Cost per Hour]])</f>
        <v>0</v>
      </c>
    </row>
    <row r="12" spans="1:28" x14ac:dyDescent="0.2">
      <c r="A12" s="83"/>
      <c r="B12" s="84"/>
      <c r="C12" s="85"/>
      <c r="D12" s="86"/>
      <c r="E12" s="87"/>
      <c r="F12" s="87"/>
      <c r="G12" s="87"/>
      <c r="H12" s="87"/>
      <c r="I12" s="98">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99">
        <f>IF(PowerUnits[[#This Row],[Est. Hours per Year]]=0,0,(PowerUnits[[#This Row],[Calculated Beg Yr. Value]]-PowerUnits[[#This Row],[Calculated End Yr. Value]])/PowerUnits[[#This Row],[Est. Hours per Year]])</f>
        <v>0</v>
      </c>
      <c r="N12" s="99">
        <f>IF(PowerUnits[[#This Row],[Est. Hours per Year]]=0,0,PowerUnits[[#This Row],[Calculated Beg Yr. Value]]*'General Variables'!$B$9/PowerUnits[[#This Row],[Est. Hours per Year]])</f>
        <v>0</v>
      </c>
      <c r="O12" s="99">
        <f>IF(PowerUnits[[#This Row],[Est. Hours per Year]]=0,0,PowerUnits[[#This Row],[Calculated Beg Yr. Value]]*'General Variables'!$B$10/PowerUnits[[#This Row],[Est. Hours per Year]])</f>
        <v>0</v>
      </c>
      <c r="P12" s="99">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7" customWidth="1"/>
    <col min="2" max="2" width="14.5703125" style="134" customWidth="1"/>
    <col min="3" max="3" width="17.85546875" style="134" customWidth="1"/>
    <col min="4" max="4" width="23.42578125" style="134" customWidth="1"/>
    <col min="5" max="6" width="11.5703125" style="117" customWidth="1"/>
    <col min="7" max="7" width="9" style="117" customWidth="1"/>
    <col min="8" max="8" width="10.5703125" style="117" customWidth="1"/>
    <col min="9" max="9" width="13.28515625" style="117" customWidth="1"/>
    <col min="10" max="10" width="11.5703125" style="117" customWidth="1"/>
    <col min="11" max="11" width="17.85546875" style="117" customWidth="1"/>
    <col min="12" max="12" width="10" style="117" customWidth="1"/>
    <col min="13" max="13" width="7.85546875" style="117" customWidth="1"/>
    <col min="14" max="15" width="12.7109375" style="117" customWidth="1"/>
    <col min="16" max="16" width="11.42578125" style="117" customWidth="1"/>
    <col min="17" max="18" width="13.7109375" style="117" customWidth="1"/>
    <col min="19" max="19" width="9.140625" style="133"/>
    <col min="20" max="20" width="11.5703125" style="133" customWidth="1"/>
    <col min="21" max="21" width="10.7109375" style="133" customWidth="1"/>
    <col min="22" max="22" width="9.140625" style="117"/>
    <col min="23" max="23" width="32.85546875" style="117" bestFit="1" customWidth="1"/>
    <col min="24" max="24" width="20.42578125" style="117" bestFit="1" customWidth="1"/>
    <col min="25" max="26" width="6.7109375" style="117" customWidth="1"/>
    <col min="27" max="27" width="11" style="117" bestFit="1" customWidth="1"/>
    <col min="28" max="29" width="9.140625" style="117"/>
    <col min="30" max="30" width="28.140625" style="117" customWidth="1"/>
    <col min="31" max="31" width="40.5703125" style="117" bestFit="1" customWidth="1"/>
    <col min="32" max="33" width="6.7109375" style="117" customWidth="1"/>
    <col min="34" max="34" width="7.85546875" style="117" customWidth="1"/>
    <col min="35" max="36" width="9.140625" style="117"/>
    <col min="37" max="37" width="19.5703125" style="117" bestFit="1" customWidth="1"/>
    <col min="38" max="38" width="9.85546875" style="117" bestFit="1" customWidth="1"/>
    <col min="39" max="39" width="29.7109375" style="117" customWidth="1"/>
    <col min="40" max="16384" width="9.140625" style="117"/>
  </cols>
  <sheetData>
    <row r="1" spans="1:41" s="110" customFormat="1" ht="44.25" customHeight="1" x14ac:dyDescent="0.2">
      <c r="A1" s="107" t="s">
        <v>0</v>
      </c>
      <c r="B1" s="108" t="s">
        <v>77</v>
      </c>
      <c r="C1" s="108" t="s">
        <v>107</v>
      </c>
      <c r="D1" s="108" t="s">
        <v>108</v>
      </c>
      <c r="E1" s="108" t="s">
        <v>104</v>
      </c>
      <c r="F1" s="108" t="s">
        <v>375</v>
      </c>
      <c r="G1" s="108" t="s">
        <v>105</v>
      </c>
      <c r="H1" s="108" t="s">
        <v>329</v>
      </c>
      <c r="I1" s="108" t="s">
        <v>360</v>
      </c>
      <c r="J1" s="108" t="s">
        <v>110</v>
      </c>
      <c r="K1" s="108" t="s">
        <v>270</v>
      </c>
      <c r="L1" s="108" t="s">
        <v>363</v>
      </c>
      <c r="M1" s="108" t="s">
        <v>364</v>
      </c>
      <c r="N1" s="108" t="s">
        <v>362</v>
      </c>
      <c r="O1" s="109" t="s">
        <v>377</v>
      </c>
      <c r="P1" s="109" t="s">
        <v>361</v>
      </c>
      <c r="Q1" s="109" t="s">
        <v>376</v>
      </c>
      <c r="R1" s="109" t="s">
        <v>378</v>
      </c>
      <c r="S1" s="109" t="s">
        <v>379</v>
      </c>
      <c r="T1" s="109" t="s">
        <v>380</v>
      </c>
      <c r="U1" s="109" t="s">
        <v>381</v>
      </c>
      <c r="W1" s="9" t="s">
        <v>111</v>
      </c>
      <c r="X1" s="111" t="s">
        <v>112</v>
      </c>
      <c r="Y1" s="112" t="s">
        <v>113</v>
      </c>
      <c r="Z1" s="112" t="s">
        <v>114</v>
      </c>
      <c r="AA1" s="113" t="s">
        <v>115</v>
      </c>
      <c r="AD1" s="10" t="s">
        <v>266</v>
      </c>
      <c r="AE1" s="10" t="s">
        <v>111</v>
      </c>
      <c r="AF1" s="10" t="s">
        <v>267</v>
      </c>
      <c r="AG1" s="10" t="s">
        <v>268</v>
      </c>
      <c r="AH1" s="10" t="s">
        <v>269</v>
      </c>
      <c r="AK1" s="307" t="s">
        <v>261</v>
      </c>
      <c r="AL1" s="307"/>
      <c r="AM1" s="307"/>
      <c r="AO1" s="114" t="s">
        <v>280</v>
      </c>
    </row>
    <row r="2" spans="1:41" ht="12.75" customHeight="1" x14ac:dyDescent="0.25">
      <c r="A2" s="135" t="s">
        <v>17</v>
      </c>
      <c r="B2" s="136" t="s">
        <v>3</v>
      </c>
      <c r="C2" s="137"/>
      <c r="D2" s="137"/>
      <c r="E2" s="138"/>
      <c r="F2" s="139"/>
      <c r="G2" s="138"/>
      <c r="H2" s="138"/>
      <c r="I2" s="140"/>
      <c r="J2" s="141"/>
      <c r="K2" s="137"/>
      <c r="L2" s="139"/>
      <c r="M2" s="142"/>
      <c r="N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5">
        <f>IF(Operations[[#This Row],[Calc List Price]]=0,0,IF(Operations[[#This Row],[Units per Hour]]*Operations[[#This Row],[Annual Use]]=0,0,(Operations[[#This Row],[Calc Beg Yr. Value]]-Operations[[#This Row],[Calc End Yr. Value]])/(Operations[[#This Row],[Annual Use]])))</f>
        <v>0</v>
      </c>
      <c r="S2" s="116">
        <f>IF(Operations[[#This Row],[Annual Use]]=0,0,Operations[[#This Row],[Calc Beg Yr. Value]]*'General Variables'!$B$9/Operations[[#This Row],[Annual Use]])</f>
        <v>0</v>
      </c>
      <c r="T2" s="116">
        <f>IF(Operations[[#This Row],[Annual Use]]=0,0,Operations[[#This Row],[Calc Beg Yr. Value]]*'General Variables'!$B$10/Operations[[#This Row],[Annual Use]])</f>
        <v>0</v>
      </c>
      <c r="U2" s="116">
        <f>SUM(Operations[[#This Row],[Depreciation per Unit]:[Opportunity Cost per Unit]])</f>
        <v>0</v>
      </c>
      <c r="W2" s="3" t="s">
        <v>122</v>
      </c>
      <c r="X2" s="3" t="s">
        <v>123</v>
      </c>
      <c r="Y2" s="4" t="s">
        <v>124</v>
      </c>
      <c r="Z2" s="4" t="s">
        <v>125</v>
      </c>
      <c r="AA2" s="6">
        <v>3000</v>
      </c>
      <c r="AD2" s="3" t="s">
        <v>228</v>
      </c>
      <c r="AE2" s="3" t="s">
        <v>229</v>
      </c>
      <c r="AF2" s="3" t="s">
        <v>230</v>
      </c>
      <c r="AG2" s="3" t="s">
        <v>231</v>
      </c>
      <c r="AH2" s="3">
        <v>0</v>
      </c>
      <c r="AK2" s="307"/>
      <c r="AL2" s="307"/>
      <c r="AM2" s="307"/>
      <c r="AO2" s="118" t="str">
        <f>IF(PowerUnits[[#This Row],[Name]]=0,"",PowerUnits[[#This Row],[Name]])</f>
        <v>Large Tractor</v>
      </c>
    </row>
    <row r="3" spans="1:41" ht="12.75" customHeight="1" x14ac:dyDescent="0.25">
      <c r="A3" s="135" t="s">
        <v>434</v>
      </c>
      <c r="B3" s="136" t="s">
        <v>71</v>
      </c>
      <c r="C3" s="137"/>
      <c r="D3" s="137"/>
      <c r="E3" s="138"/>
      <c r="F3" s="139"/>
      <c r="G3" s="137"/>
      <c r="H3" s="137"/>
      <c r="I3" s="143">
        <v>12</v>
      </c>
      <c r="J3" s="141">
        <v>1.1000000000000001</v>
      </c>
      <c r="K3" s="137" t="s">
        <v>470</v>
      </c>
      <c r="L3" s="139">
        <v>6.36</v>
      </c>
      <c r="M3" s="142"/>
      <c r="N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5">
        <f>IF(Operations[[#This Row],[Calc List Price]]=0,0,IF(Operations[[#This Row],[Units per Hour]]*Operations[[#This Row],[Annual Use]]=0,0,(Operations[[#This Row],[Calc Beg Yr. Value]]-Operations[[#This Row],[Calc End Yr. Value]])/(Operations[[#This Row],[Annual Use]])))</f>
        <v>0</v>
      </c>
      <c r="S3" s="116">
        <f>IF(Operations[[#This Row],[Annual Use]]=0,0,Operations[[#This Row],[Calc Beg Yr. Value]]*'General Variables'!$B$9/Operations[[#This Row],[Annual Use]])</f>
        <v>0</v>
      </c>
      <c r="T3" s="116">
        <f>IF(Operations[[#This Row],[Annual Use]]=0,0,Operations[[#This Row],[Calc Beg Yr. Value]]*'General Variables'!$B$10/Operations[[#This Row],[Annual Use]])</f>
        <v>0</v>
      </c>
      <c r="U3" s="116">
        <f>SUM(Operations[[#This Row],[Depreciation per Unit]:[Opportunity Cost per Unit]])</f>
        <v>0</v>
      </c>
      <c r="W3" s="3" t="s">
        <v>126</v>
      </c>
      <c r="X3" s="3" t="s">
        <v>123</v>
      </c>
      <c r="Y3" s="4" t="s">
        <v>127</v>
      </c>
      <c r="Z3" s="4" t="s">
        <v>125</v>
      </c>
      <c r="AA3" s="6">
        <v>1500</v>
      </c>
      <c r="AD3" s="3" t="s">
        <v>228</v>
      </c>
      <c r="AE3" s="3" t="s">
        <v>233</v>
      </c>
      <c r="AF3" s="3" t="s">
        <v>234</v>
      </c>
      <c r="AG3" s="3" t="s">
        <v>235</v>
      </c>
      <c r="AH3" s="3"/>
      <c r="AK3" s="94" t="s">
        <v>262</v>
      </c>
      <c r="AL3" s="94" t="s">
        <v>263</v>
      </c>
      <c r="AM3" s="119" t="s">
        <v>264</v>
      </c>
      <c r="AO3" s="118" t="str">
        <f>IF(PowerUnits[[#This Row],[Name]]=0,"",PowerUnits[[#This Row],[Name]])</f>
        <v>Medium Tractor</v>
      </c>
    </row>
    <row r="4" spans="1:41" ht="12.75" customHeight="1" x14ac:dyDescent="0.25">
      <c r="A4" s="135" t="s">
        <v>285</v>
      </c>
      <c r="B4" s="136" t="s">
        <v>71</v>
      </c>
      <c r="C4" s="137" t="s">
        <v>335</v>
      </c>
      <c r="D4" s="137" t="s">
        <v>357</v>
      </c>
      <c r="E4" s="144"/>
      <c r="F4" s="139">
        <v>15500</v>
      </c>
      <c r="G4" s="138">
        <v>5</v>
      </c>
      <c r="H4" s="138">
        <v>500</v>
      </c>
      <c r="I4" s="143">
        <v>12</v>
      </c>
      <c r="J4" s="141">
        <v>1.1000000000000001</v>
      </c>
      <c r="K4" s="137" t="s">
        <v>470</v>
      </c>
      <c r="L4" s="139">
        <v>6.3642857142857157</v>
      </c>
      <c r="M4" s="142"/>
      <c r="N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5">
        <f>IF(Operations[[#This Row],[Calc List Price]]=0,0,IF(Operations[[#This Row],[Units per Hour]]*Operations[[#This Row],[Annual Use]]=0,0,(Operations[[#This Row],[Calc Beg Yr. Value]]-Operations[[#This Row],[Calc End Yr. Value]])/(Operations[[#This Row],[Annual Use]])))</f>
        <v>2.0779164521464408</v>
      </c>
      <c r="S4" s="116">
        <f>IF(Operations[[#This Row],[Annual Use]]=0,0,Operations[[#This Row],[Calc Beg Yr. Value]]*'General Variables'!$B$9/Operations[[#This Row],[Annual Use]])</f>
        <v>0.62</v>
      </c>
      <c r="T4" s="116">
        <f>IF(Operations[[#This Row],[Annual Use]]=0,0,Operations[[#This Row],[Calc Beg Yr. Value]]*'General Variables'!$B$10/Operations[[#This Row],[Annual Use]])</f>
        <v>1.24</v>
      </c>
      <c r="U4" s="116">
        <f>SUM(Operations[[#This Row],[Depreciation per Unit]:[Opportunity Cost per Unit]])</f>
        <v>3.9379164521464407</v>
      </c>
      <c r="W4" s="3" t="s">
        <v>128</v>
      </c>
      <c r="X4" s="3" t="s">
        <v>123</v>
      </c>
      <c r="Y4" s="4" t="s">
        <v>129</v>
      </c>
      <c r="Z4" s="4" t="s">
        <v>125</v>
      </c>
      <c r="AA4" s="6">
        <v>2000</v>
      </c>
      <c r="AD4" s="3" t="s">
        <v>228</v>
      </c>
      <c r="AE4" s="3" t="s">
        <v>236</v>
      </c>
      <c r="AF4" s="3" t="s">
        <v>237</v>
      </c>
      <c r="AG4" s="3" t="s">
        <v>238</v>
      </c>
      <c r="AH4" s="3"/>
      <c r="AK4" s="94" t="s">
        <v>198</v>
      </c>
      <c r="AL4" s="120">
        <v>15</v>
      </c>
      <c r="AM4" s="120">
        <v>2</v>
      </c>
      <c r="AO4" s="118" t="str">
        <f>IF(PowerUnits[[#This Row],[Name]]=0,"",PowerUnits[[#This Row],[Name]])</f>
        <v>Combine</v>
      </c>
    </row>
    <row r="5" spans="1:41" ht="12.75" customHeight="1" x14ac:dyDescent="0.25">
      <c r="A5" s="135" t="s">
        <v>286</v>
      </c>
      <c r="B5" s="136" t="s">
        <v>438</v>
      </c>
      <c r="C5" s="137" t="s">
        <v>398</v>
      </c>
      <c r="D5" s="137" t="s">
        <v>357</v>
      </c>
      <c r="E5" s="138">
        <v>42000</v>
      </c>
      <c r="F5" s="139"/>
      <c r="G5" s="138">
        <v>5</v>
      </c>
      <c r="H5" s="138">
        <f>2000*220</f>
        <v>440000</v>
      </c>
      <c r="I5" s="145">
        <f>7*220</f>
        <v>1540</v>
      </c>
      <c r="J5" s="141">
        <v>1.1000000000000001</v>
      </c>
      <c r="K5" s="137" t="s">
        <v>470</v>
      </c>
      <c r="L5" s="139">
        <v>3</v>
      </c>
      <c r="M5" s="142"/>
      <c r="N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5">
        <f>IF(Operations[[#This Row],[Calc List Price]]=0,0,IF(Operations[[#This Row],[Units per Hour]]*Operations[[#This Row],[Annual Use]]=0,0,(Operations[[#This Row],[Calc Beg Yr. Value]]-Operations[[#This Row],[Calc End Yr. Value]])/(Operations[[#This Row],[Annual Use]])))</f>
        <v>3.0887175017060807E-3</v>
      </c>
      <c r="S5" s="116">
        <f>IF(Operations[[#This Row],[Annual Use]]=0,0,Operations[[#This Row],[Calc Beg Yr. Value]]*'General Variables'!$B$9/Operations[[#This Row],[Annual Use]])</f>
        <v>9.2159857971171888E-4</v>
      </c>
      <c r="T5" s="116">
        <f>IF(Operations[[#This Row],[Annual Use]]=0,0,Operations[[#This Row],[Calc Beg Yr. Value]]*'General Variables'!$B$10/Operations[[#This Row],[Annual Use]])</f>
        <v>1.8431971594234378E-3</v>
      </c>
      <c r="U5" s="116">
        <f>SUM(Operations[[#This Row],[Depreciation per Unit]:[Opportunity Cost per Unit]])</f>
        <v>5.853513240841237E-3</v>
      </c>
      <c r="W5" s="3" t="s">
        <v>130</v>
      </c>
      <c r="X5" s="3" t="s">
        <v>131</v>
      </c>
      <c r="Y5" s="4" t="s">
        <v>132</v>
      </c>
      <c r="Z5" s="4" t="s">
        <v>133</v>
      </c>
      <c r="AA5" s="5">
        <v>2000</v>
      </c>
      <c r="AD5" s="3" t="s">
        <v>228</v>
      </c>
      <c r="AE5" s="3" t="s">
        <v>239</v>
      </c>
      <c r="AF5" s="3" t="s">
        <v>240</v>
      </c>
      <c r="AG5" s="3" t="s">
        <v>241</v>
      </c>
      <c r="AH5" s="3"/>
      <c r="AK5" s="94" t="s">
        <v>200</v>
      </c>
      <c r="AL5" s="120">
        <v>10</v>
      </c>
      <c r="AM5" s="120">
        <v>3</v>
      </c>
      <c r="AO5" s="118" t="str">
        <f>IF(PowerUnits[[#This Row],[Name]]=0,"",PowerUnits[[#This Row],[Name]])</f>
        <v>Diesel Pump</v>
      </c>
    </row>
    <row r="6" spans="1:41" ht="12.75" customHeight="1" x14ac:dyDescent="0.25">
      <c r="A6" s="135" t="s">
        <v>287</v>
      </c>
      <c r="B6" s="136" t="s">
        <v>71</v>
      </c>
      <c r="C6" s="137" t="s">
        <v>335</v>
      </c>
      <c r="D6" s="137" t="s">
        <v>356</v>
      </c>
      <c r="E6" s="144">
        <v>56958</v>
      </c>
      <c r="F6" s="139"/>
      <c r="G6" s="138">
        <v>5</v>
      </c>
      <c r="H6" s="138">
        <v>2000</v>
      </c>
      <c r="I6" s="143">
        <v>11.092436974789917</v>
      </c>
      <c r="J6" s="141">
        <v>1.1000000000000001</v>
      </c>
      <c r="K6" s="137" t="s">
        <v>470</v>
      </c>
      <c r="L6" s="139">
        <v>8.2638655462184882</v>
      </c>
      <c r="M6" s="142"/>
      <c r="N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5">
        <f>IF(Operations[[#This Row],[Calc List Price]]=0,0,IF(Operations[[#This Row],[Units per Hour]]*Operations[[#This Row],[Annual Use]]=0,0,(Operations[[#This Row],[Calc Beg Yr. Value]]-Operations[[#This Row],[Calc End Yr. Value]])/(Operations[[#This Row],[Annual Use]])))</f>
        <v>0.84682119765616704</v>
      </c>
      <c r="S6" s="116">
        <f>IF(Operations[[#This Row],[Annual Use]]=0,0,Operations[[#This Row],[Calc Beg Yr. Value]]*'General Variables'!$B$9/Operations[[#This Row],[Annual Use]])</f>
        <v>0.23698341625765873</v>
      </c>
      <c r="T6" s="116">
        <f>IF(Operations[[#This Row],[Annual Use]]=0,0,Operations[[#This Row],[Calc Beg Yr. Value]]*'General Variables'!$B$10/Operations[[#This Row],[Annual Use]])</f>
        <v>0.47396683251531746</v>
      </c>
      <c r="U6" s="116">
        <f>SUM(Operations[[#This Row],[Depreciation per Unit]:[Opportunity Cost per Unit]])</f>
        <v>1.5577714464291432</v>
      </c>
      <c r="W6" s="3" t="s">
        <v>134</v>
      </c>
      <c r="X6" s="3" t="s">
        <v>131</v>
      </c>
      <c r="Y6" s="4" t="s">
        <v>135</v>
      </c>
      <c r="Z6" s="4" t="s">
        <v>136</v>
      </c>
      <c r="AA6" s="6">
        <v>1200</v>
      </c>
      <c r="AD6" s="3" t="s">
        <v>242</v>
      </c>
      <c r="AE6" s="3" t="s">
        <v>243</v>
      </c>
      <c r="AF6" s="3" t="s">
        <v>244</v>
      </c>
      <c r="AG6" s="3" t="s">
        <v>245</v>
      </c>
      <c r="AH6" s="3"/>
      <c r="AK6" s="94" t="s">
        <v>201</v>
      </c>
      <c r="AL6" s="120">
        <v>15</v>
      </c>
      <c r="AM6" s="120">
        <v>2</v>
      </c>
      <c r="AO6" s="118" t="str">
        <f>IF(PowerUnits[[#This Row],[Name]]=0,"",PowerUnits[[#This Row],[Name]])</f>
        <v>Electric Pump</v>
      </c>
    </row>
    <row r="7" spans="1:41" ht="12.75" customHeight="1" x14ac:dyDescent="0.25">
      <c r="A7" s="135" t="s">
        <v>288</v>
      </c>
      <c r="B7" s="136" t="s">
        <v>3</v>
      </c>
      <c r="C7" s="136"/>
      <c r="D7" s="136"/>
      <c r="E7" s="138"/>
      <c r="F7" s="139"/>
      <c r="G7" s="138"/>
      <c r="H7" s="138"/>
      <c r="I7" s="143" t="s">
        <v>397</v>
      </c>
      <c r="J7" s="141"/>
      <c r="K7" s="137"/>
      <c r="L7" s="139" t="s">
        <v>397</v>
      </c>
      <c r="M7" s="142"/>
      <c r="N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5">
        <f>IF(Operations[[#This Row],[Calc List Price]]=0,0,IF(Operations[[#This Row],[Units per Hour]]*Operations[[#This Row],[Annual Use]]=0,0,(Operations[[#This Row],[Calc Beg Yr. Value]]-Operations[[#This Row],[Calc End Yr. Value]])/(Operations[[#This Row],[Annual Use]])))</f>
        <v>0</v>
      </c>
      <c r="S7" s="116">
        <f>IF(Operations[[#This Row],[Annual Use]]=0,0,Operations[[#This Row],[Calc Beg Yr. Value]]*'General Variables'!$B$9/Operations[[#This Row],[Annual Use]])</f>
        <v>0</v>
      </c>
      <c r="T7" s="116">
        <f>IF(Operations[[#This Row],[Annual Use]]=0,0,Operations[[#This Row],[Calc Beg Yr. Value]]*'General Variables'!$B$10/Operations[[#This Row],[Annual Use]])</f>
        <v>0</v>
      </c>
      <c r="U7" s="116">
        <f>SUM(Operations[[#This Row],[Depreciation per Unit]:[Opportunity Cost per Unit]])</f>
        <v>0</v>
      </c>
      <c r="W7" s="3" t="s">
        <v>137</v>
      </c>
      <c r="X7" s="3" t="s">
        <v>138</v>
      </c>
      <c r="Y7" s="4" t="s">
        <v>135</v>
      </c>
      <c r="Z7" s="4" t="s">
        <v>136</v>
      </c>
      <c r="AA7" s="5">
        <v>2000</v>
      </c>
      <c r="AD7" s="3" t="s">
        <v>242</v>
      </c>
      <c r="AE7" s="3" t="s">
        <v>246</v>
      </c>
      <c r="AF7" s="3" t="s">
        <v>247</v>
      </c>
      <c r="AG7" s="3" t="s">
        <v>248</v>
      </c>
      <c r="AH7" s="3"/>
      <c r="AK7" s="94" t="s">
        <v>202</v>
      </c>
      <c r="AL7" s="120">
        <v>10</v>
      </c>
      <c r="AM7" s="120">
        <v>6</v>
      </c>
      <c r="AO7" s="118" t="str">
        <f>IF(PowerUnits[[#This Row],[Name]]=0,"",PowerUnits[[#This Row],[Name]])</f>
        <v>Diesel Pump for Pipe</v>
      </c>
    </row>
    <row r="8" spans="1:41" ht="12.75" customHeight="1" x14ac:dyDescent="0.25">
      <c r="A8" s="135" t="s">
        <v>289</v>
      </c>
      <c r="B8" s="136" t="s">
        <v>71</v>
      </c>
      <c r="C8" s="137" t="s">
        <v>336</v>
      </c>
      <c r="D8" s="137" t="s">
        <v>331</v>
      </c>
      <c r="E8" s="144">
        <v>19286</v>
      </c>
      <c r="F8" s="139"/>
      <c r="G8" s="138">
        <v>5</v>
      </c>
      <c r="H8" s="138">
        <v>500</v>
      </c>
      <c r="I8" s="143">
        <v>12.336448598130842</v>
      </c>
      <c r="J8" s="141">
        <v>1.1000000000000001</v>
      </c>
      <c r="K8" s="137" t="s">
        <v>470</v>
      </c>
      <c r="L8" s="139">
        <v>5.736448598130842</v>
      </c>
      <c r="M8" s="142"/>
      <c r="N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5">
        <f>IF(Operations[[#This Row],[Calc List Price]]=0,0,IF(Operations[[#This Row],[Units per Hour]]*Operations[[#This Row],[Annual Use]]=0,0,(Operations[[#This Row],[Calc Beg Yr. Value]]-Operations[[#This Row],[Calc End Yr. Value]])/(Operations[[#This Row],[Annual Use]])))</f>
        <v>0.86569547162900562</v>
      </c>
      <c r="S8" s="116">
        <f>IF(Operations[[#This Row],[Annual Use]]=0,0,Operations[[#This Row],[Calc Beg Yr. Value]]*'General Variables'!$B$9/Operations[[#This Row],[Annual Use]])</f>
        <v>0.26628348514567046</v>
      </c>
      <c r="T8" s="116">
        <f>IF(Operations[[#This Row],[Annual Use]]=0,0,Operations[[#This Row],[Calc Beg Yr. Value]]*'General Variables'!$B$10/Operations[[#This Row],[Annual Use]])</f>
        <v>0.53256697029134092</v>
      </c>
      <c r="U8" s="116">
        <f>SUM(Operations[[#This Row],[Depreciation per Unit]:[Opportunity Cost per Unit]])</f>
        <v>1.664545927066017</v>
      </c>
      <c r="W8" s="3" t="s">
        <v>139</v>
      </c>
      <c r="X8" s="3" t="s">
        <v>123</v>
      </c>
      <c r="Y8" s="4" t="s">
        <v>140</v>
      </c>
      <c r="Z8" s="4" t="s">
        <v>141</v>
      </c>
      <c r="AA8" s="6">
        <v>2000</v>
      </c>
      <c r="AD8" s="3" t="s">
        <v>249</v>
      </c>
      <c r="AE8" s="3" t="s">
        <v>250</v>
      </c>
      <c r="AF8" s="3" t="s">
        <v>251</v>
      </c>
      <c r="AG8" s="3" t="s">
        <v>252</v>
      </c>
      <c r="AH8" s="3">
        <v>0</v>
      </c>
      <c r="AK8" s="94" t="s">
        <v>203</v>
      </c>
      <c r="AL8" s="120">
        <v>15</v>
      </c>
      <c r="AM8" s="120">
        <v>6</v>
      </c>
      <c r="AO8" s="118" t="str">
        <f>IF(PowerUnits[[#This Row],[Name]]=0,"",PowerUnits[[#This Row],[Name]])</f>
        <v>Windrower</v>
      </c>
    </row>
    <row r="9" spans="1:41" ht="12.75" customHeight="1" x14ac:dyDescent="0.25">
      <c r="A9" s="135" t="s">
        <v>475</v>
      </c>
      <c r="B9" s="136" t="s">
        <v>71</v>
      </c>
      <c r="C9" s="137" t="s">
        <v>337</v>
      </c>
      <c r="D9" s="137" t="s">
        <v>276</v>
      </c>
      <c r="E9" s="144">
        <v>50450</v>
      </c>
      <c r="F9" s="139"/>
      <c r="G9" s="138">
        <v>5</v>
      </c>
      <c r="H9" s="144">
        <v>1000</v>
      </c>
      <c r="I9" s="145">
        <v>7</v>
      </c>
      <c r="J9" s="141">
        <v>1.1000000000000001</v>
      </c>
      <c r="K9" s="137" t="s">
        <v>271</v>
      </c>
      <c r="L9" s="139">
        <v>10.5</v>
      </c>
      <c r="M9" s="142"/>
      <c r="N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5">
        <f>IF(Operations[[#This Row],[Calc List Price]]=0,0,IF(Operations[[#This Row],[Units per Hour]]*Operations[[#This Row],[Annual Use]]=0,0,(Operations[[#This Row],[Calc Beg Yr. Value]]-Operations[[#This Row],[Calc End Yr. Value]])/(Operations[[#This Row],[Annual Use]])))</f>
        <v>2.6486671075507986</v>
      </c>
      <c r="S9" s="116">
        <f>IF(Operations[[#This Row],[Annual Use]]=0,0,Operations[[#This Row],[Calc Beg Yr. Value]]*'General Variables'!$B$9/Operations[[#This Row],[Annual Use]])</f>
        <v>0.58748363734210507</v>
      </c>
      <c r="T9" s="116">
        <f>IF(Operations[[#This Row],[Annual Use]]=0,0,Operations[[#This Row],[Calc Beg Yr. Value]]*'General Variables'!$B$10/Operations[[#This Row],[Annual Use]])</f>
        <v>1.1749672746842101</v>
      </c>
      <c r="U9" s="116">
        <f>SUM(Operations[[#This Row],[Depreciation per Unit]:[Opportunity Cost per Unit]])</f>
        <v>4.4111180195771134</v>
      </c>
      <c r="W9" s="3" t="s">
        <v>145</v>
      </c>
      <c r="X9" s="3" t="s">
        <v>123</v>
      </c>
      <c r="Y9" s="4" t="s">
        <v>146</v>
      </c>
      <c r="Z9" s="4" t="s">
        <v>141</v>
      </c>
      <c r="AA9" s="6">
        <v>2000</v>
      </c>
      <c r="AD9" s="3" t="s">
        <v>249</v>
      </c>
      <c r="AE9" s="3" t="s">
        <v>254</v>
      </c>
      <c r="AF9" s="3" t="s">
        <v>255</v>
      </c>
      <c r="AG9" s="3" t="s">
        <v>256</v>
      </c>
      <c r="AH9" s="3"/>
      <c r="AK9" s="94" t="s">
        <v>204</v>
      </c>
      <c r="AL9" s="120">
        <v>15</v>
      </c>
      <c r="AM9" s="120">
        <v>6</v>
      </c>
      <c r="AO9" s="118" t="str">
        <f>IF(PowerUnits[[#This Row],[Name]]=0,"",PowerUnits[[#This Row],[Name]])</f>
        <v>none</v>
      </c>
    </row>
    <row r="10" spans="1:41" ht="12.75" customHeight="1" x14ac:dyDescent="0.25">
      <c r="A10" s="135" t="s">
        <v>479</v>
      </c>
      <c r="B10" s="136" t="s">
        <v>71</v>
      </c>
      <c r="C10" s="137" t="s">
        <v>337</v>
      </c>
      <c r="D10" s="137" t="s">
        <v>276</v>
      </c>
      <c r="E10" s="138">
        <v>30866</v>
      </c>
      <c r="F10" s="139"/>
      <c r="G10" s="138">
        <v>5</v>
      </c>
      <c r="H10" s="144">
        <v>1000</v>
      </c>
      <c r="I10" s="143">
        <v>6.5</v>
      </c>
      <c r="J10" s="141">
        <v>1.1000000000000001</v>
      </c>
      <c r="K10" s="137" t="s">
        <v>271</v>
      </c>
      <c r="L10" s="139">
        <v>10.5</v>
      </c>
      <c r="M10" s="142"/>
      <c r="N1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5">
        <f>IF(Operations[[#This Row],[Calc List Price]]=0,0,IF(Operations[[#This Row],[Units per Hour]]*Operations[[#This Row],[Annual Use]]=0,0,(Operations[[#This Row],[Calc Beg Yr. Value]]-Operations[[#This Row],[Calc End Yr. Value]])/(Operations[[#This Row],[Annual Use]])))</f>
        <v>1.6204907619754794</v>
      </c>
      <c r="S10" s="116">
        <f>IF(Operations[[#This Row],[Annual Use]]=0,0,Operations[[#This Row],[Calc Beg Yr. Value]]*'General Variables'!$B$9/Operations[[#This Row],[Annual Use]])</f>
        <v>0.35943052428545919</v>
      </c>
      <c r="T10" s="116">
        <f>IF(Operations[[#This Row],[Annual Use]]=0,0,Operations[[#This Row],[Calc Beg Yr. Value]]*'General Variables'!$B$10/Operations[[#This Row],[Annual Use]])</f>
        <v>0.71886104857091837</v>
      </c>
      <c r="U10" s="116">
        <f>SUM(Operations[[#This Row],[Depreciation per Unit]:[Opportunity Cost per Unit]])</f>
        <v>2.6987823348318569</v>
      </c>
      <c r="W10" s="3" t="s">
        <v>149</v>
      </c>
      <c r="X10" s="3" t="s">
        <v>138</v>
      </c>
      <c r="Y10" s="4" t="s">
        <v>150</v>
      </c>
      <c r="Z10" s="4" t="s">
        <v>136</v>
      </c>
      <c r="AA10" s="6">
        <v>2000</v>
      </c>
      <c r="AD10" s="3" t="s">
        <v>257</v>
      </c>
      <c r="AE10" s="3" t="s">
        <v>258</v>
      </c>
      <c r="AF10" s="3" t="s">
        <v>259</v>
      </c>
      <c r="AG10" s="3" t="s">
        <v>260</v>
      </c>
      <c r="AH10" s="3"/>
      <c r="AK10" s="94" t="s">
        <v>205</v>
      </c>
      <c r="AL10" s="120">
        <v>15</v>
      </c>
      <c r="AM10" s="120">
        <v>6</v>
      </c>
      <c r="AO10" s="118" t="str">
        <f>IF(PowerUnits[[#This Row],[Name]]=0,"",PowerUnits[[#This Row],[Name]])</f>
        <v/>
      </c>
    </row>
    <row r="11" spans="1:41" ht="12.75" customHeight="1" x14ac:dyDescent="0.25">
      <c r="A11" s="135" t="s">
        <v>477</v>
      </c>
      <c r="B11" s="136" t="s">
        <v>71</v>
      </c>
      <c r="C11" s="137" t="s">
        <v>337</v>
      </c>
      <c r="D11" s="137" t="s">
        <v>276</v>
      </c>
      <c r="E11" s="138">
        <v>30866</v>
      </c>
      <c r="F11" s="139"/>
      <c r="G11" s="138">
        <v>5</v>
      </c>
      <c r="H11" s="144">
        <v>1000</v>
      </c>
      <c r="I11" s="143">
        <v>6.5</v>
      </c>
      <c r="J11" s="141">
        <v>1.1000000000000001</v>
      </c>
      <c r="K11" s="137" t="s">
        <v>271</v>
      </c>
      <c r="L11" s="139">
        <v>10.5</v>
      </c>
      <c r="M11" s="142"/>
      <c r="N1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5">
        <f>IF(Operations[[#This Row],[Calc List Price]]=0,0,IF(Operations[[#This Row],[Units per Hour]]*Operations[[#This Row],[Annual Use]]=0,0,(Operations[[#This Row],[Calc Beg Yr. Value]]-Operations[[#This Row],[Calc End Yr. Value]])/(Operations[[#This Row],[Annual Use]])))</f>
        <v>1.6204907619754794</v>
      </c>
      <c r="S11" s="116">
        <f>IF(Operations[[#This Row],[Annual Use]]=0,0,Operations[[#This Row],[Calc Beg Yr. Value]]*'General Variables'!$B$9/Operations[[#This Row],[Annual Use]])</f>
        <v>0.35943052428545919</v>
      </c>
      <c r="T11" s="116">
        <f>IF(Operations[[#This Row],[Annual Use]]=0,0,Operations[[#This Row],[Calc Beg Yr. Value]]*'General Variables'!$B$10/Operations[[#This Row],[Annual Use]])</f>
        <v>0.71886104857091837</v>
      </c>
      <c r="U11" s="116">
        <f>SUM(Operations[[#This Row],[Depreciation per Unit]:[Opportunity Cost per Unit]])</f>
        <v>2.6987823348318569</v>
      </c>
      <c r="W11" s="3" t="s">
        <v>151</v>
      </c>
      <c r="X11" s="3" t="s">
        <v>138</v>
      </c>
      <c r="Y11" s="4" t="s">
        <v>152</v>
      </c>
      <c r="Z11" s="4" t="s">
        <v>153</v>
      </c>
      <c r="AA11" s="5">
        <v>2000</v>
      </c>
      <c r="AD11" s="3" t="s">
        <v>204</v>
      </c>
      <c r="AE11" s="3" t="s">
        <v>383</v>
      </c>
      <c r="AF11" s="3" t="s">
        <v>247</v>
      </c>
      <c r="AG11" s="3" t="s">
        <v>248</v>
      </c>
      <c r="AH11" s="3"/>
      <c r="AK11" s="94" t="s">
        <v>206</v>
      </c>
      <c r="AL11" s="120">
        <v>15</v>
      </c>
      <c r="AM11" s="120">
        <v>6</v>
      </c>
      <c r="AO11" s="118" t="str">
        <f>IF(PowerUnits[[#This Row],[Name]]=0,"",PowerUnits[[#This Row],[Name]])</f>
        <v/>
      </c>
    </row>
    <row r="12" spans="1:41" ht="12.75" customHeight="1" x14ac:dyDescent="0.25">
      <c r="A12" s="135" t="s">
        <v>282</v>
      </c>
      <c r="B12" s="136" t="s">
        <v>71</v>
      </c>
      <c r="C12" s="137" t="s">
        <v>337</v>
      </c>
      <c r="D12" s="137" t="s">
        <v>276</v>
      </c>
      <c r="E12" s="144">
        <v>51450</v>
      </c>
      <c r="F12" s="139"/>
      <c r="G12" s="138">
        <v>5</v>
      </c>
      <c r="H12" s="144">
        <v>1000</v>
      </c>
      <c r="I12" s="143">
        <v>7</v>
      </c>
      <c r="J12" s="141">
        <v>1.1000000000000001</v>
      </c>
      <c r="K12" s="137" t="s">
        <v>271</v>
      </c>
      <c r="L12" s="139">
        <v>10.5</v>
      </c>
      <c r="M12" s="142"/>
      <c r="N1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5">
        <f>IF(Operations[[#This Row],[Calc List Price]]=0,0,IF(Operations[[#This Row],[Units per Hour]]*Operations[[#This Row],[Annual Use]]=0,0,(Operations[[#This Row],[Calc Beg Yr. Value]]-Operations[[#This Row],[Calc End Yr. Value]])/(Operations[[#This Row],[Annual Use]])))</f>
        <v>2.7011679421900592</v>
      </c>
      <c r="S12" s="116">
        <f>IF(Operations[[#This Row],[Annual Use]]=0,0,Operations[[#This Row],[Calc Beg Yr. Value]]*'General Variables'!$B$9/Operations[[#This Row],[Annual Use]])</f>
        <v>0.59912850626860858</v>
      </c>
      <c r="T12" s="116">
        <f>IF(Operations[[#This Row],[Annual Use]]=0,0,Operations[[#This Row],[Calc Beg Yr. Value]]*'General Variables'!$B$10/Operations[[#This Row],[Annual Use]])</f>
        <v>1.1982570125372172</v>
      </c>
      <c r="U12" s="116">
        <f>SUM(Operations[[#This Row],[Depreciation per Unit]:[Opportunity Cost per Unit]])</f>
        <v>4.4985534609958853</v>
      </c>
      <c r="W12" s="3" t="s">
        <v>154</v>
      </c>
      <c r="X12" s="3" t="s">
        <v>138</v>
      </c>
      <c r="Y12" s="4" t="s">
        <v>155</v>
      </c>
      <c r="Z12" s="4" t="s">
        <v>156</v>
      </c>
      <c r="AA12" s="5">
        <v>2000</v>
      </c>
      <c r="AK12" s="94" t="s">
        <v>207</v>
      </c>
      <c r="AL12" s="120">
        <v>15</v>
      </c>
      <c r="AM12" s="120">
        <v>6</v>
      </c>
    </row>
    <row r="13" spans="1:41" ht="12.75" customHeight="1" x14ac:dyDescent="0.25">
      <c r="A13" s="135" t="s">
        <v>284</v>
      </c>
      <c r="B13" s="136" t="s">
        <v>71</v>
      </c>
      <c r="C13" s="137" t="s">
        <v>337</v>
      </c>
      <c r="D13" s="137" t="s">
        <v>276</v>
      </c>
      <c r="E13" s="144">
        <v>30866</v>
      </c>
      <c r="F13" s="139"/>
      <c r="G13" s="138">
        <v>5</v>
      </c>
      <c r="H13" s="138">
        <v>1000</v>
      </c>
      <c r="I13" s="143">
        <v>5</v>
      </c>
      <c r="J13" s="141">
        <v>1.1000000000000001</v>
      </c>
      <c r="K13" s="137" t="s">
        <v>271</v>
      </c>
      <c r="L13" s="139">
        <v>10.5</v>
      </c>
      <c r="M13" s="142"/>
      <c r="N1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5">
        <f>IF(Operations[[#This Row],[Calc List Price]]=0,0,IF(Operations[[#This Row],[Units per Hour]]*Operations[[#This Row],[Annual Use]]=0,0,(Operations[[#This Row],[Calc Beg Yr. Value]]-Operations[[#This Row],[Calc End Yr. Value]])/(Operations[[#This Row],[Annual Use]])))</f>
        <v>1.6204907619754794</v>
      </c>
      <c r="S13" s="116">
        <f>IF(Operations[[#This Row],[Annual Use]]=0,0,Operations[[#This Row],[Calc Beg Yr. Value]]*'General Variables'!$B$9/Operations[[#This Row],[Annual Use]])</f>
        <v>0.35943052428545919</v>
      </c>
      <c r="T13" s="116">
        <f>IF(Operations[[#This Row],[Annual Use]]=0,0,Operations[[#This Row],[Calc Beg Yr. Value]]*'General Variables'!$B$10/Operations[[#This Row],[Annual Use]])</f>
        <v>0.71886104857091837</v>
      </c>
      <c r="U13" s="116">
        <f>SUM(Operations[[#This Row],[Depreciation per Unit]:[Opportunity Cost per Unit]])</f>
        <v>2.6987823348318569</v>
      </c>
      <c r="W13" s="3" t="s">
        <v>157</v>
      </c>
      <c r="X13" s="3" t="s">
        <v>138</v>
      </c>
      <c r="Y13" s="4" t="s">
        <v>155</v>
      </c>
      <c r="Z13" s="4" t="s">
        <v>156</v>
      </c>
      <c r="AA13" s="6">
        <v>2000</v>
      </c>
      <c r="AK13" s="94" t="s">
        <v>208</v>
      </c>
      <c r="AL13" s="120">
        <v>15</v>
      </c>
      <c r="AM13" s="120">
        <v>2</v>
      </c>
    </row>
    <row r="14" spans="1:41" ht="12.75" customHeight="1" x14ac:dyDescent="0.25">
      <c r="A14" s="135" t="s">
        <v>283</v>
      </c>
      <c r="B14" s="136" t="s">
        <v>71</v>
      </c>
      <c r="C14" s="137" t="s">
        <v>337</v>
      </c>
      <c r="D14" s="137" t="s">
        <v>276</v>
      </c>
      <c r="E14" s="138">
        <v>30866</v>
      </c>
      <c r="F14" s="139"/>
      <c r="G14" s="138">
        <v>5</v>
      </c>
      <c r="H14" s="144">
        <v>1000</v>
      </c>
      <c r="I14" s="143">
        <v>6</v>
      </c>
      <c r="J14" s="141">
        <v>1.1000000000000001</v>
      </c>
      <c r="K14" s="137" t="s">
        <v>271</v>
      </c>
      <c r="L14" s="139">
        <v>10.5</v>
      </c>
      <c r="M14" s="142"/>
      <c r="N1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5">
        <f>IF(Operations[[#This Row],[Calc List Price]]=0,0,IF(Operations[[#This Row],[Units per Hour]]*Operations[[#This Row],[Annual Use]]=0,0,(Operations[[#This Row],[Calc Beg Yr. Value]]-Operations[[#This Row],[Calc End Yr. Value]])/(Operations[[#This Row],[Annual Use]])))</f>
        <v>1.6204907619754794</v>
      </c>
      <c r="S14" s="116">
        <f>IF(Operations[[#This Row],[Annual Use]]=0,0,Operations[[#This Row],[Calc Beg Yr. Value]]*'General Variables'!$B$9/Operations[[#This Row],[Annual Use]])</f>
        <v>0.35943052428545919</v>
      </c>
      <c r="T14" s="116">
        <f>IF(Operations[[#This Row],[Annual Use]]=0,0,Operations[[#This Row],[Calc Beg Yr. Value]]*'General Variables'!$B$10/Operations[[#This Row],[Annual Use]])</f>
        <v>0.71886104857091837</v>
      </c>
      <c r="U14" s="116">
        <f>SUM(Operations[[#This Row],[Depreciation per Unit]:[Opportunity Cost per Unit]])</f>
        <v>2.6987823348318569</v>
      </c>
      <c r="W14" s="3" t="s">
        <v>158</v>
      </c>
      <c r="X14" s="3" t="s">
        <v>138</v>
      </c>
      <c r="Y14" s="4" t="s">
        <v>159</v>
      </c>
      <c r="Z14" s="4" t="s">
        <v>144</v>
      </c>
      <c r="AA14" s="6">
        <v>1500</v>
      </c>
      <c r="AK14" s="94" t="s">
        <v>209</v>
      </c>
      <c r="AL14" s="120">
        <v>20</v>
      </c>
      <c r="AM14" s="120">
        <v>1</v>
      </c>
    </row>
    <row r="15" spans="1:41" ht="12.75" customHeight="1" x14ac:dyDescent="0.25">
      <c r="A15" s="135" t="s">
        <v>281</v>
      </c>
      <c r="B15" s="136" t="s">
        <v>71</v>
      </c>
      <c r="C15" s="137" t="s">
        <v>337</v>
      </c>
      <c r="D15" s="137" t="s">
        <v>276</v>
      </c>
      <c r="E15" s="138">
        <v>30866</v>
      </c>
      <c r="F15" s="139"/>
      <c r="G15" s="138">
        <v>5</v>
      </c>
      <c r="H15" s="144">
        <v>1000</v>
      </c>
      <c r="I15" s="143">
        <v>6.5</v>
      </c>
      <c r="J15" s="141">
        <v>1.1000000000000001</v>
      </c>
      <c r="K15" s="137" t="s">
        <v>271</v>
      </c>
      <c r="L15" s="139">
        <v>10.5</v>
      </c>
      <c r="M15" s="142"/>
      <c r="N1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5">
        <f>IF(Operations[[#This Row],[Calc List Price]]=0,0,IF(Operations[[#This Row],[Units per Hour]]*Operations[[#This Row],[Annual Use]]=0,0,(Operations[[#This Row],[Calc Beg Yr. Value]]-Operations[[#This Row],[Calc End Yr. Value]])/(Operations[[#This Row],[Annual Use]])))</f>
        <v>1.6204907619754794</v>
      </c>
      <c r="S15" s="116">
        <f>IF(Operations[[#This Row],[Annual Use]]=0,0,Operations[[#This Row],[Calc Beg Yr. Value]]*'General Variables'!$B$9/Operations[[#This Row],[Annual Use]])</f>
        <v>0.35943052428545919</v>
      </c>
      <c r="T15" s="116">
        <f>IF(Operations[[#This Row],[Annual Use]]=0,0,Operations[[#This Row],[Calc Beg Yr. Value]]*'General Variables'!$B$10/Operations[[#This Row],[Annual Use]])</f>
        <v>0.71886104857091837</v>
      </c>
      <c r="U15" s="116">
        <f>SUM(Operations[[#This Row],[Depreciation per Unit]:[Opportunity Cost per Unit]])</f>
        <v>2.6987823348318569</v>
      </c>
      <c r="W15" s="3" t="s">
        <v>160</v>
      </c>
      <c r="X15" s="3" t="s">
        <v>131</v>
      </c>
      <c r="Y15" s="4" t="s">
        <v>161</v>
      </c>
      <c r="Z15" s="4" t="s">
        <v>162</v>
      </c>
      <c r="AA15" s="6">
        <v>1200</v>
      </c>
      <c r="AK15" s="94" t="s">
        <v>210</v>
      </c>
      <c r="AL15" s="120">
        <v>15</v>
      </c>
      <c r="AM15" s="120">
        <v>3</v>
      </c>
    </row>
    <row r="16" spans="1:41" ht="12.75" customHeight="1" x14ac:dyDescent="0.25">
      <c r="A16" s="135" t="s">
        <v>578</v>
      </c>
      <c r="B16" s="136" t="s">
        <v>71</v>
      </c>
      <c r="C16" s="137" t="s">
        <v>337</v>
      </c>
      <c r="D16" s="137" t="s">
        <v>276</v>
      </c>
      <c r="E16" s="138">
        <v>79100</v>
      </c>
      <c r="F16" s="139"/>
      <c r="G16" s="138">
        <v>5</v>
      </c>
      <c r="H16" s="138">
        <v>1000</v>
      </c>
      <c r="I16" s="140">
        <v>5</v>
      </c>
      <c r="J16" s="141">
        <v>1.1000000000000001</v>
      </c>
      <c r="K16" s="137" t="s">
        <v>271</v>
      </c>
      <c r="L16" s="139">
        <v>10.5</v>
      </c>
      <c r="M16" s="142"/>
      <c r="N1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5">
        <f>IF(Operations[[#This Row],[Calc List Price]]=0,0,IF(Operations[[#This Row],[Units per Hour]]*Operations[[#This Row],[Annual Use]]=0,0,(Operations[[#This Row],[Calc Beg Yr. Value]]-Operations[[#This Row],[Calc End Yr. Value]])/(Operations[[#This Row],[Annual Use]])))</f>
        <v>4.1528160199656705</v>
      </c>
      <c r="S16" s="116">
        <f>IF(Operations[[#This Row],[Annual Use]]=0,0,Operations[[#This Row],[Calc Beg Yr. Value]]*'General Variables'!$B$9/Operations[[#This Row],[Annual Use]])</f>
        <v>0.9211091320864323</v>
      </c>
      <c r="T16" s="116">
        <f>IF(Operations[[#This Row],[Annual Use]]=0,0,Operations[[#This Row],[Calc Beg Yr. Value]]*'General Variables'!$B$10/Operations[[#This Row],[Annual Use]])</f>
        <v>1.8422182641728646</v>
      </c>
      <c r="U16" s="116">
        <f>SUM(Operations[[#This Row],[Depreciation per Unit]:[Opportunity Cost per Unit]])</f>
        <v>6.9161434162249673</v>
      </c>
      <c r="W16" s="3" t="s">
        <v>163</v>
      </c>
      <c r="X16" s="3" t="s">
        <v>131</v>
      </c>
      <c r="Y16" s="4" t="s">
        <v>164</v>
      </c>
      <c r="Z16" s="4" t="s">
        <v>125</v>
      </c>
      <c r="AA16" s="5">
        <v>1500</v>
      </c>
      <c r="AK16" s="308" t="s">
        <v>265</v>
      </c>
      <c r="AL16" s="308"/>
      <c r="AM16" s="308"/>
    </row>
    <row r="17" spans="1:39" ht="12.75" customHeight="1" x14ac:dyDescent="0.25">
      <c r="A17" s="135" t="s">
        <v>556</v>
      </c>
      <c r="B17" s="136" t="s">
        <v>71</v>
      </c>
      <c r="C17" s="137" t="s">
        <v>337</v>
      </c>
      <c r="D17" s="137" t="s">
        <v>276</v>
      </c>
      <c r="E17" s="138">
        <v>30866</v>
      </c>
      <c r="F17" s="139">
        <v>15000</v>
      </c>
      <c r="G17" s="138">
        <v>5</v>
      </c>
      <c r="H17" s="144">
        <v>1000</v>
      </c>
      <c r="I17" s="146">
        <v>7</v>
      </c>
      <c r="J17" s="141">
        <v>1.1000000000000001</v>
      </c>
      <c r="K17" s="137" t="s">
        <v>271</v>
      </c>
      <c r="L17" s="139">
        <v>10.468032786885246</v>
      </c>
      <c r="M17" s="142"/>
      <c r="N1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5">
        <f>IF(Operations[[#This Row],[Calc List Price]]=0,0,IF(Operations[[#This Row],[Units per Hour]]*Operations[[#This Row],[Annual Use]]=0,0,(Operations[[#This Row],[Calc Beg Yr. Value]]-Operations[[#This Row],[Calc End Yr. Value]])/(Operations[[#This Row],[Annual Use]])))</f>
        <v>1.6204907619754794</v>
      </c>
      <c r="S17" s="116">
        <f>IF(Operations[[#This Row],[Annual Use]]=0,0,Operations[[#This Row],[Calc Beg Yr. Value]]*'General Variables'!$B$9/Operations[[#This Row],[Annual Use]])</f>
        <v>0.35943052428545919</v>
      </c>
      <c r="T17" s="116">
        <f>IF(Operations[[#This Row],[Annual Use]]=0,0,Operations[[#This Row],[Calc Beg Yr. Value]]*'General Variables'!$B$10/Operations[[#This Row],[Annual Use]])</f>
        <v>0.71886104857091837</v>
      </c>
      <c r="U17" s="116">
        <f>SUM(Operations[[#This Row],[Depreciation per Unit]:[Opportunity Cost per Unit]])</f>
        <v>2.6987823348318569</v>
      </c>
      <c r="W17" s="3" t="s">
        <v>165</v>
      </c>
      <c r="X17" s="3" t="s">
        <v>123</v>
      </c>
      <c r="Y17" s="4" t="s">
        <v>166</v>
      </c>
      <c r="Z17" s="4" t="s">
        <v>133</v>
      </c>
      <c r="AA17" s="6">
        <v>2500</v>
      </c>
      <c r="AK17" s="308"/>
      <c r="AL17" s="308"/>
      <c r="AM17" s="308"/>
    </row>
    <row r="18" spans="1:39" ht="12.75" customHeight="1" x14ac:dyDescent="0.25">
      <c r="A18" s="135" t="s">
        <v>562</v>
      </c>
      <c r="B18" s="136" t="s">
        <v>71</v>
      </c>
      <c r="C18" s="137" t="s">
        <v>337</v>
      </c>
      <c r="D18" s="137" t="s">
        <v>276</v>
      </c>
      <c r="E18" s="148">
        <v>35000</v>
      </c>
      <c r="F18" s="139"/>
      <c r="G18" s="138">
        <v>5</v>
      </c>
      <c r="H18" s="138">
        <v>1000</v>
      </c>
      <c r="I18" s="143">
        <v>7</v>
      </c>
      <c r="J18" s="141">
        <v>1.1000000000000001</v>
      </c>
      <c r="K18" s="137" t="s">
        <v>271</v>
      </c>
      <c r="L18" s="139">
        <v>10.5</v>
      </c>
      <c r="M18" s="142"/>
      <c r="N1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5">
        <f>IF(Operations[[#This Row],[Calc List Price]]=0,0,IF(Operations[[#This Row],[Units per Hour]]*Operations[[#This Row],[Annual Use]]=0,0,(Operations[[#This Row],[Calc Beg Yr. Value]]-Operations[[#This Row],[Calc End Yr. Value]])/(Operations[[#This Row],[Annual Use]])))</f>
        <v>1.8375292123741893</v>
      </c>
      <c r="S18" s="116">
        <f>IF(Operations[[#This Row],[Annual Use]]=0,0,Operations[[#This Row],[Calc Beg Yr. Value]]*'General Variables'!$B$9/Operations[[#This Row],[Annual Use]])</f>
        <v>0.40757041242762487</v>
      </c>
      <c r="T18" s="116">
        <f>IF(Operations[[#This Row],[Annual Use]]=0,0,Operations[[#This Row],[Calc Beg Yr. Value]]*'General Variables'!$B$10/Operations[[#This Row],[Annual Use]])</f>
        <v>0.81514082485524975</v>
      </c>
      <c r="U18" s="116">
        <f>SUM(Operations[[#This Row],[Depreciation per Unit]:[Opportunity Cost per Unit]])</f>
        <v>3.0602404496570639</v>
      </c>
      <c r="W18" s="3" t="s">
        <v>169</v>
      </c>
      <c r="X18" s="3" t="s">
        <v>138</v>
      </c>
      <c r="Y18" s="4" t="s">
        <v>150</v>
      </c>
      <c r="Z18" s="4" t="s">
        <v>136</v>
      </c>
      <c r="AA18" s="6">
        <v>2000</v>
      </c>
      <c r="AK18" s="308"/>
      <c r="AL18" s="308"/>
      <c r="AM18" s="308"/>
    </row>
    <row r="19" spans="1:39" ht="12.75" customHeight="1" x14ac:dyDescent="0.25">
      <c r="A19" s="135" t="s">
        <v>447</v>
      </c>
      <c r="B19" s="136" t="s">
        <v>71</v>
      </c>
      <c r="C19" s="137" t="s">
        <v>338</v>
      </c>
      <c r="D19" s="137" t="s">
        <v>356</v>
      </c>
      <c r="E19" s="138">
        <v>29000</v>
      </c>
      <c r="F19" s="139"/>
      <c r="G19" s="138">
        <v>5</v>
      </c>
      <c r="H19" s="138">
        <v>300</v>
      </c>
      <c r="I19" s="143">
        <v>7.0212765957446823</v>
      </c>
      <c r="J19" s="141">
        <v>1.1000000000000001</v>
      </c>
      <c r="K19" s="137" t="s">
        <v>470</v>
      </c>
      <c r="L19" s="139">
        <v>4.3882978723404262</v>
      </c>
      <c r="M19" s="142"/>
      <c r="N1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5">
        <f>IF(Operations[[#This Row],[Calc List Price]]=0,0,IF(Operations[[#This Row],[Units per Hour]]*Operations[[#This Row],[Annual Use]]=0,0,(Operations[[#This Row],[Calc Beg Yr. Value]]-Operations[[#This Row],[Calc End Yr. Value]])/(Operations[[#This Row],[Annual Use]])))</f>
        <v>2.8743769949821338</v>
      </c>
      <c r="S19" s="116">
        <f>IF(Operations[[#This Row],[Annual Use]]=0,0,Operations[[#This Row],[Calc Beg Yr. Value]]*'General Variables'!$B$9/Operations[[#This Row],[Annual Use]])</f>
        <v>0.80439611309761616</v>
      </c>
      <c r="T19" s="116">
        <f>IF(Operations[[#This Row],[Annual Use]]=0,0,Operations[[#This Row],[Calc Beg Yr. Value]]*'General Variables'!$B$10/Operations[[#This Row],[Annual Use]])</f>
        <v>1.6087922261952323</v>
      </c>
      <c r="U19" s="116">
        <f>SUM(Operations[[#This Row],[Depreciation per Unit]:[Opportunity Cost per Unit]])</f>
        <v>5.2875653342749827</v>
      </c>
      <c r="W19" s="3" t="s">
        <v>170</v>
      </c>
      <c r="X19" s="3" t="s">
        <v>123</v>
      </c>
      <c r="Y19" s="4" t="s">
        <v>171</v>
      </c>
      <c r="Z19" s="4" t="s">
        <v>156</v>
      </c>
      <c r="AA19" s="6">
        <v>2000</v>
      </c>
      <c r="AK19" s="308"/>
      <c r="AL19" s="308"/>
      <c r="AM19" s="308"/>
    </row>
    <row r="20" spans="1:39" ht="12.75" customHeight="1" x14ac:dyDescent="0.25">
      <c r="A20" s="135" t="s">
        <v>290</v>
      </c>
      <c r="B20" s="136" t="s">
        <v>71</v>
      </c>
      <c r="C20" s="137" t="s">
        <v>339</v>
      </c>
      <c r="D20" s="137" t="s">
        <v>356</v>
      </c>
      <c r="E20" s="138">
        <v>39688</v>
      </c>
      <c r="F20" s="139"/>
      <c r="G20" s="138">
        <v>5</v>
      </c>
      <c r="H20" s="138">
        <v>2000</v>
      </c>
      <c r="I20" s="145">
        <v>10.90909090909091</v>
      </c>
      <c r="J20" s="141">
        <v>1.1000000000000001</v>
      </c>
      <c r="K20" s="137" t="s">
        <v>469</v>
      </c>
      <c r="L20" s="139">
        <v>8.290909090909091</v>
      </c>
      <c r="M20" s="142"/>
      <c r="N2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5">
        <f>IF(Operations[[#This Row],[Calc List Price]]=0,0,IF(Operations[[#This Row],[Units per Hour]]*Operations[[#This Row],[Annual Use]]=0,0,(Operations[[#This Row],[Calc Beg Yr. Value]]-Operations[[#This Row],[Calc End Yr. Value]])/(Operations[[#This Row],[Annual Use]])))</f>
        <v>0.59006003884578062</v>
      </c>
      <c r="S20" s="116">
        <f>IF(Operations[[#This Row],[Annual Use]]=0,0,Operations[[#This Row],[Calc Beg Yr. Value]]*'General Variables'!$B$9/Operations[[#This Row],[Annual Use]])</f>
        <v>0.16512865312043892</v>
      </c>
      <c r="T20" s="116">
        <f>IF(Operations[[#This Row],[Annual Use]]=0,0,Operations[[#This Row],[Calc Beg Yr. Value]]*'General Variables'!$B$10/Operations[[#This Row],[Annual Use]])</f>
        <v>0.33025730624087785</v>
      </c>
      <c r="U20" s="116">
        <f>SUM(Operations[[#This Row],[Depreciation per Unit]:[Opportunity Cost per Unit]])</f>
        <v>1.0854459982070974</v>
      </c>
      <c r="W20" s="3" t="s">
        <v>172</v>
      </c>
      <c r="X20" s="3" t="s">
        <v>123</v>
      </c>
      <c r="Y20" s="4" t="s">
        <v>173</v>
      </c>
      <c r="Z20" s="4" t="s">
        <v>119</v>
      </c>
      <c r="AA20" s="6">
        <v>2000</v>
      </c>
      <c r="AK20" s="119"/>
      <c r="AL20" s="119"/>
      <c r="AM20" s="119"/>
    </row>
    <row r="21" spans="1:39" ht="12.75" customHeight="1" x14ac:dyDescent="0.25">
      <c r="A21" s="135" t="s">
        <v>291</v>
      </c>
      <c r="B21" s="136" t="s">
        <v>445</v>
      </c>
      <c r="C21" s="136"/>
      <c r="D21" s="136"/>
      <c r="E21" s="138"/>
      <c r="F21" s="139"/>
      <c r="G21" s="138">
        <v>5</v>
      </c>
      <c r="H21" s="138">
        <v>1000</v>
      </c>
      <c r="I21" s="143">
        <v>1.8</v>
      </c>
      <c r="J21" s="149">
        <v>0.1</v>
      </c>
      <c r="K21" s="137" t="s">
        <v>458</v>
      </c>
      <c r="L21" s="139">
        <v>0</v>
      </c>
      <c r="M21" s="142"/>
      <c r="N2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5">
        <f>IF(Operations[[#This Row],[Calc List Price]]=0,0,IF(Operations[[#This Row],[Units per Hour]]*Operations[[#This Row],[Annual Use]]=0,0,(Operations[[#This Row],[Calc Beg Yr. Value]]-Operations[[#This Row],[Calc End Yr. Value]])/(Operations[[#This Row],[Annual Use]])))</f>
        <v>0</v>
      </c>
      <c r="S21" s="116">
        <f>IF(Operations[[#This Row],[Annual Use]]=0,0,Operations[[#This Row],[Calc Beg Yr. Value]]*'General Variables'!$B$9/Operations[[#This Row],[Annual Use]])</f>
        <v>0</v>
      </c>
      <c r="T21" s="116">
        <f>IF(Operations[[#This Row],[Annual Use]]=0,0,Operations[[#This Row],[Calc Beg Yr. Value]]*'General Variables'!$B$10/Operations[[#This Row],[Annual Use]])</f>
        <v>0</v>
      </c>
      <c r="U21" s="116">
        <f>SUM(Operations[[#This Row],[Depreciation per Unit]:[Opportunity Cost per Unit]])</f>
        <v>0</v>
      </c>
      <c r="W21" s="3" t="s">
        <v>174</v>
      </c>
      <c r="X21" s="3" t="s">
        <v>123</v>
      </c>
      <c r="Y21" s="4" t="s">
        <v>155</v>
      </c>
      <c r="Z21" s="4" t="s">
        <v>133</v>
      </c>
      <c r="AA21" s="5">
        <v>2500</v>
      </c>
    </row>
    <row r="22" spans="1:39" ht="12.75" customHeight="1" x14ac:dyDescent="0.25">
      <c r="A22" s="135" t="s">
        <v>292</v>
      </c>
      <c r="B22" s="136" t="s">
        <v>71</v>
      </c>
      <c r="C22" s="137" t="s">
        <v>340</v>
      </c>
      <c r="D22" s="137" t="s">
        <v>331</v>
      </c>
      <c r="E22" s="144">
        <v>7187</v>
      </c>
      <c r="F22" s="139"/>
      <c r="G22" s="138">
        <v>20</v>
      </c>
      <c r="H22" s="138">
        <v>300</v>
      </c>
      <c r="I22" s="143">
        <v>20</v>
      </c>
      <c r="J22" s="141">
        <v>1.1000000000000001</v>
      </c>
      <c r="K22" s="137" t="s">
        <v>470</v>
      </c>
      <c r="L22" s="139">
        <v>2.1070422535211271</v>
      </c>
      <c r="M22" s="142"/>
      <c r="N2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5">
        <f>IF(Operations[[#This Row],[Calc List Price]]=0,0,IF(Operations[[#This Row],[Units per Hour]]*Operations[[#This Row],[Annual Use]]=0,0,(Operations[[#This Row],[Calc Beg Yr. Value]]-Operations[[#This Row],[Calc End Yr. Value]])/(Operations[[#This Row],[Annual Use]])))</f>
        <v>0.18250490145944126</v>
      </c>
      <c r="S22" s="116">
        <f>IF(Operations[[#This Row],[Annual Use]]=0,0,Operations[[#This Row],[Calc Beg Yr. Value]]*'General Variables'!$B$9/Operations[[#This Row],[Annual Use]])</f>
        <v>7.066419563508812E-2</v>
      </c>
      <c r="T22" s="116">
        <f>IF(Operations[[#This Row],[Annual Use]]=0,0,Operations[[#This Row],[Calc Beg Yr. Value]]*'General Variables'!$B$10/Operations[[#This Row],[Annual Use]])</f>
        <v>0.14132839127017624</v>
      </c>
      <c r="U22" s="116">
        <f>SUM(Operations[[#This Row],[Depreciation per Unit]:[Opportunity Cost per Unit]])</f>
        <v>0.39449748836470566</v>
      </c>
      <c r="W22" s="3" t="s">
        <v>175</v>
      </c>
      <c r="X22" s="3" t="s">
        <v>123</v>
      </c>
      <c r="Y22" s="4" t="s">
        <v>176</v>
      </c>
      <c r="Z22" s="4" t="s">
        <v>119</v>
      </c>
      <c r="AA22" s="6">
        <v>2500</v>
      </c>
    </row>
    <row r="23" spans="1:39" ht="12.75" customHeight="1" x14ac:dyDescent="0.25">
      <c r="A23" s="135" t="s">
        <v>293</v>
      </c>
      <c r="B23" s="136" t="s">
        <v>71</v>
      </c>
      <c r="C23" s="137" t="s">
        <v>341</v>
      </c>
      <c r="D23" s="137" t="s">
        <v>358</v>
      </c>
      <c r="E23" s="138">
        <v>62454</v>
      </c>
      <c r="F23" s="139"/>
      <c r="G23" s="138">
        <v>10</v>
      </c>
      <c r="H23" s="138">
        <v>1000</v>
      </c>
      <c r="I23" s="145">
        <v>12.5</v>
      </c>
      <c r="J23" s="141">
        <v>1.1000000000000001</v>
      </c>
      <c r="K23" s="137" t="s">
        <v>470</v>
      </c>
      <c r="L23" s="139">
        <v>4.9866666666666672</v>
      </c>
      <c r="M23" s="142"/>
      <c r="N2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5">
        <f>IF(Operations[[#This Row],[Calc List Price]]=0,0,IF(Operations[[#This Row],[Units per Hour]]*Operations[[#This Row],[Annual Use]]=0,0,(Operations[[#This Row],[Calc Beg Yr. Value]]-Operations[[#This Row],[Calc End Yr. Value]])/(Operations[[#This Row],[Annual Use]])))</f>
        <v>0.94786488817210557</v>
      </c>
      <c r="S23" s="116">
        <f>IF(Operations[[#This Row],[Annual Use]]=0,0,Operations[[#This Row],[Calc Beg Yr. Value]]*'General Variables'!$B$9/Operations[[#This Row],[Annual Use]])</f>
        <v>0.50579193403318978</v>
      </c>
      <c r="T23" s="116">
        <f>IF(Operations[[#This Row],[Annual Use]]=0,0,Operations[[#This Row],[Calc Beg Yr. Value]]*'General Variables'!$B$10/Operations[[#This Row],[Annual Use]])</f>
        <v>1.0115838680663796</v>
      </c>
      <c r="U23" s="116">
        <f>SUM(Operations[[#This Row],[Depreciation per Unit]:[Opportunity Cost per Unit]])</f>
        <v>2.465240690271675</v>
      </c>
      <c r="W23" s="3" t="s">
        <v>177</v>
      </c>
      <c r="X23" s="3" t="s">
        <v>138</v>
      </c>
      <c r="Y23" s="4" t="s">
        <v>176</v>
      </c>
      <c r="Z23" s="4" t="s">
        <v>162</v>
      </c>
      <c r="AA23" s="6">
        <v>2000</v>
      </c>
    </row>
    <row r="24" spans="1:39" ht="12.75" customHeight="1" x14ac:dyDescent="0.25">
      <c r="A24" s="135" t="s">
        <v>531</v>
      </c>
      <c r="B24" s="136" t="s">
        <v>71</v>
      </c>
      <c r="C24" s="137" t="s">
        <v>341</v>
      </c>
      <c r="D24" s="137" t="s">
        <v>358</v>
      </c>
      <c r="E24" s="138">
        <v>62454</v>
      </c>
      <c r="F24" s="139"/>
      <c r="G24" s="138">
        <v>10</v>
      </c>
      <c r="H24" s="138">
        <v>1000</v>
      </c>
      <c r="I24" s="140">
        <v>11</v>
      </c>
      <c r="J24" s="141">
        <v>1.2</v>
      </c>
      <c r="K24" s="137" t="s">
        <v>470</v>
      </c>
      <c r="L24" s="139">
        <v>5</v>
      </c>
      <c r="M24" s="142"/>
      <c r="N2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5">
        <f>IF(Operations[[#This Row],[Calc List Price]]=0,0,IF(Operations[[#This Row],[Units per Hour]]*Operations[[#This Row],[Annual Use]]=0,0,(Operations[[#This Row],[Calc Beg Yr. Value]]-Operations[[#This Row],[Calc End Yr. Value]])/(Operations[[#This Row],[Annual Use]])))</f>
        <v>0.94786488817210557</v>
      </c>
      <c r="S24" s="116">
        <f>IF(Operations[[#This Row],[Annual Use]]=0,0,Operations[[#This Row],[Calc Beg Yr. Value]]*'General Variables'!$B$9/Operations[[#This Row],[Annual Use]])</f>
        <v>0.50579193403318978</v>
      </c>
      <c r="T24" s="116">
        <f>IF(Operations[[#This Row],[Annual Use]]=0,0,Operations[[#This Row],[Calc Beg Yr. Value]]*'General Variables'!$B$10/Operations[[#This Row],[Annual Use]])</f>
        <v>1.0115838680663796</v>
      </c>
      <c r="U24" s="116">
        <f>SUM(Operations[[#This Row],[Depreciation per Unit]:[Opportunity Cost per Unit]])</f>
        <v>2.465240690271675</v>
      </c>
      <c r="W24" s="3" t="s">
        <v>178</v>
      </c>
      <c r="X24" s="3" t="s">
        <v>138</v>
      </c>
      <c r="Y24" s="4" t="s">
        <v>159</v>
      </c>
      <c r="Z24" s="4" t="s">
        <v>144</v>
      </c>
      <c r="AA24" s="6">
        <v>1500</v>
      </c>
    </row>
    <row r="25" spans="1:39" ht="12.75" customHeight="1" x14ac:dyDescent="0.25">
      <c r="A25" s="135" t="s">
        <v>294</v>
      </c>
      <c r="B25" s="136" t="s">
        <v>438</v>
      </c>
      <c r="C25" s="136"/>
      <c r="D25" s="136"/>
      <c r="E25" s="138"/>
      <c r="F25" s="139"/>
      <c r="G25" s="138"/>
      <c r="H25" s="138"/>
      <c r="I25" s="143" t="s">
        <v>397</v>
      </c>
      <c r="J25" s="141"/>
      <c r="K25" s="137"/>
      <c r="L25" s="139" t="s">
        <v>397</v>
      </c>
      <c r="M25" s="142"/>
      <c r="N2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5">
        <f>IF(Operations[[#This Row],[Calc List Price]]=0,0,IF(Operations[[#This Row],[Units per Hour]]*Operations[[#This Row],[Annual Use]]=0,0,(Operations[[#This Row],[Calc Beg Yr. Value]]-Operations[[#This Row],[Calc End Yr. Value]])/(Operations[[#This Row],[Annual Use]])))</f>
        <v>0</v>
      </c>
      <c r="S25" s="116">
        <f>IF(Operations[[#This Row],[Annual Use]]=0,0,Operations[[#This Row],[Calc Beg Yr. Value]]*'General Variables'!$B$9/Operations[[#This Row],[Annual Use]])</f>
        <v>0</v>
      </c>
      <c r="T25" s="116">
        <f>IF(Operations[[#This Row],[Annual Use]]=0,0,Operations[[#This Row],[Calc Beg Yr. Value]]*'General Variables'!$B$10/Operations[[#This Row],[Annual Use]])</f>
        <v>0</v>
      </c>
      <c r="U25" s="116">
        <f>SUM(Operations[[#This Row],[Depreciation per Unit]:[Opportunity Cost per Unit]])</f>
        <v>0</v>
      </c>
      <c r="W25" s="3" t="s">
        <v>179</v>
      </c>
      <c r="X25" s="3" t="s">
        <v>138</v>
      </c>
      <c r="Y25" s="4" t="s">
        <v>180</v>
      </c>
      <c r="Z25" s="4" t="s">
        <v>125</v>
      </c>
      <c r="AA25" s="5">
        <v>2000</v>
      </c>
    </row>
    <row r="26" spans="1:39" ht="12.75" customHeight="1" x14ac:dyDescent="0.25">
      <c r="A26" s="135" t="s">
        <v>295</v>
      </c>
      <c r="B26" s="136" t="s">
        <v>71</v>
      </c>
      <c r="C26" s="137" t="s">
        <v>342</v>
      </c>
      <c r="D26" s="137" t="s">
        <v>356</v>
      </c>
      <c r="E26" s="138">
        <v>56958</v>
      </c>
      <c r="F26" s="139"/>
      <c r="G26" s="138">
        <v>5</v>
      </c>
      <c r="H26" s="138">
        <v>2000</v>
      </c>
      <c r="I26" s="143">
        <v>12.5</v>
      </c>
      <c r="J26" s="141">
        <v>1.1000000000000001</v>
      </c>
      <c r="K26" s="137" t="s">
        <v>469</v>
      </c>
      <c r="L26" s="139">
        <v>8.6225806451612925</v>
      </c>
      <c r="M26" s="142"/>
      <c r="N2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5">
        <f>IF(Operations[[#This Row],[Calc List Price]]=0,0,IF(Operations[[#This Row],[Units per Hour]]*Operations[[#This Row],[Annual Use]]=0,0,(Operations[[#This Row],[Calc Beg Yr. Value]]-Operations[[#This Row],[Calc End Yr. Value]])/(Operations[[#This Row],[Annual Use]])))</f>
        <v>0.84682119765616704</v>
      </c>
      <c r="S26" s="116">
        <f>IF(Operations[[#This Row],[Annual Use]]=0,0,Operations[[#This Row],[Calc Beg Yr. Value]]*'General Variables'!$B$9/Operations[[#This Row],[Annual Use]])</f>
        <v>0.23698341625765873</v>
      </c>
      <c r="T26" s="116">
        <f>IF(Operations[[#This Row],[Annual Use]]=0,0,Operations[[#This Row],[Calc Beg Yr. Value]]*'General Variables'!$B$10/Operations[[#This Row],[Annual Use]])</f>
        <v>0.47396683251531746</v>
      </c>
      <c r="U26" s="116">
        <f>SUM(Operations[[#This Row],[Depreciation per Unit]:[Opportunity Cost per Unit]])</f>
        <v>1.5577714464291432</v>
      </c>
      <c r="W26" s="3" t="s">
        <v>181</v>
      </c>
      <c r="X26" s="3" t="s">
        <v>123</v>
      </c>
      <c r="Y26" s="4" t="s">
        <v>182</v>
      </c>
      <c r="Z26" s="4" t="s">
        <v>136</v>
      </c>
      <c r="AA26" s="6">
        <v>2500</v>
      </c>
    </row>
    <row r="27" spans="1:39" ht="12.75" customHeight="1" x14ac:dyDescent="0.25">
      <c r="A27" s="135" t="s">
        <v>296</v>
      </c>
      <c r="B27" s="136" t="s">
        <v>71</v>
      </c>
      <c r="C27" s="137" t="s">
        <v>338</v>
      </c>
      <c r="D27" s="137" t="s">
        <v>356</v>
      </c>
      <c r="E27" s="138">
        <v>56958</v>
      </c>
      <c r="F27" s="139"/>
      <c r="G27" s="138">
        <v>5</v>
      </c>
      <c r="H27" s="138">
        <v>2000</v>
      </c>
      <c r="I27" s="143">
        <v>15</v>
      </c>
      <c r="J27" s="141">
        <v>1.1000000000000001</v>
      </c>
      <c r="K27" s="137" t="s">
        <v>470</v>
      </c>
      <c r="L27" s="139">
        <v>8.1967741935483875</v>
      </c>
      <c r="M27" s="142"/>
      <c r="N2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5">
        <f>IF(Operations[[#This Row],[Calc List Price]]=0,0,IF(Operations[[#This Row],[Units per Hour]]*Operations[[#This Row],[Annual Use]]=0,0,(Operations[[#This Row],[Calc Beg Yr. Value]]-Operations[[#This Row],[Calc End Yr. Value]])/(Operations[[#This Row],[Annual Use]])))</f>
        <v>0.84682119765616704</v>
      </c>
      <c r="S27" s="116">
        <f>IF(Operations[[#This Row],[Annual Use]]=0,0,Operations[[#This Row],[Calc Beg Yr. Value]]*'General Variables'!$B$9/Operations[[#This Row],[Annual Use]])</f>
        <v>0.23698341625765873</v>
      </c>
      <c r="T27" s="116">
        <f>IF(Operations[[#This Row],[Annual Use]]=0,0,Operations[[#This Row],[Calc Beg Yr. Value]]*'General Variables'!$B$10/Operations[[#This Row],[Annual Use]])</f>
        <v>0.47396683251531746</v>
      </c>
      <c r="U27" s="116">
        <f>SUM(Operations[[#This Row],[Depreciation per Unit]:[Opportunity Cost per Unit]])</f>
        <v>1.5577714464291432</v>
      </c>
      <c r="W27" s="3" t="s">
        <v>183</v>
      </c>
      <c r="X27" s="3" t="s">
        <v>123</v>
      </c>
      <c r="Y27" s="4" t="s">
        <v>152</v>
      </c>
      <c r="Z27" s="4" t="s">
        <v>136</v>
      </c>
      <c r="AA27" s="6">
        <v>2500</v>
      </c>
    </row>
    <row r="28" spans="1:39" ht="12.75" customHeight="1" x14ac:dyDescent="0.25">
      <c r="A28" s="135" t="s">
        <v>33</v>
      </c>
      <c r="B28" s="136" t="s">
        <v>71</v>
      </c>
      <c r="C28" s="136" t="s">
        <v>341</v>
      </c>
      <c r="D28" s="136" t="s">
        <v>358</v>
      </c>
      <c r="E28" s="138">
        <v>73000</v>
      </c>
      <c r="F28" s="139"/>
      <c r="G28" s="138">
        <v>10</v>
      </c>
      <c r="H28" s="138">
        <v>1000</v>
      </c>
      <c r="I28" s="143">
        <v>9</v>
      </c>
      <c r="J28" s="141">
        <v>1.1000000000000001</v>
      </c>
      <c r="K28" s="137" t="s">
        <v>470</v>
      </c>
      <c r="L28" s="139">
        <v>4.2936802973977706</v>
      </c>
      <c r="M28" s="142"/>
      <c r="N2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5">
        <f>IF(Operations[[#This Row],[Calc List Price]]=0,0,IF(Operations[[#This Row],[Units per Hour]]*Operations[[#This Row],[Annual Use]]=0,0,(Operations[[#This Row],[Calc Beg Yr. Value]]-Operations[[#This Row],[Calc End Yr. Value]])/(Operations[[#This Row],[Annual Use]])))</f>
        <v>1.1079216196971173</v>
      </c>
      <c r="S28" s="116">
        <f>IF(Operations[[#This Row],[Annual Use]]=0,0,Operations[[#This Row],[Calc Beg Yr. Value]]*'General Variables'!$B$9/Operations[[#This Row],[Annual Use]])</f>
        <v>0.59120010222600394</v>
      </c>
      <c r="T28" s="116">
        <f>IF(Operations[[#This Row],[Annual Use]]=0,0,Operations[[#This Row],[Calc Beg Yr. Value]]*'General Variables'!$B$10/Operations[[#This Row],[Annual Use]])</f>
        <v>1.1824002044520079</v>
      </c>
      <c r="U28" s="116">
        <f>SUM(Operations[[#This Row],[Depreciation per Unit]:[Opportunity Cost per Unit]])</f>
        <v>2.8815219263751288</v>
      </c>
      <c r="W28" s="3" t="s">
        <v>184</v>
      </c>
      <c r="X28" s="3" t="s">
        <v>138</v>
      </c>
      <c r="Y28" s="4" t="s">
        <v>176</v>
      </c>
      <c r="Z28" s="4" t="s">
        <v>162</v>
      </c>
      <c r="AA28" s="6">
        <v>2000</v>
      </c>
    </row>
    <row r="29" spans="1:39" ht="12.75" customHeight="1" x14ac:dyDescent="0.25">
      <c r="A29" s="135" t="s">
        <v>297</v>
      </c>
      <c r="B29" s="136" t="s">
        <v>71</v>
      </c>
      <c r="C29" s="137" t="s">
        <v>343</v>
      </c>
      <c r="D29" s="137" t="s">
        <v>356</v>
      </c>
      <c r="E29" s="138"/>
      <c r="F29" s="139"/>
      <c r="G29" s="138">
        <v>5</v>
      </c>
      <c r="H29" s="138">
        <v>1000</v>
      </c>
      <c r="I29" s="143">
        <v>18.591549295774648</v>
      </c>
      <c r="J29" s="141">
        <v>1.1000000000000001</v>
      </c>
      <c r="K29" s="137" t="s">
        <v>470</v>
      </c>
      <c r="L29" s="139">
        <v>2.0450704225352112</v>
      </c>
      <c r="M29" s="142"/>
      <c r="N2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5">
        <f>IF(Operations[[#This Row],[Calc List Price]]=0,0,IF(Operations[[#This Row],[Units per Hour]]*Operations[[#This Row],[Annual Use]]=0,0,(Operations[[#This Row],[Calc Beg Yr. Value]]-Operations[[#This Row],[Calc End Yr. Value]])/(Operations[[#This Row],[Annual Use]])))</f>
        <v>0</v>
      </c>
      <c r="S29" s="116">
        <f>IF(Operations[[#This Row],[Annual Use]]=0,0,Operations[[#This Row],[Calc Beg Yr. Value]]*'General Variables'!$B$9/Operations[[#This Row],[Annual Use]])</f>
        <v>0</v>
      </c>
      <c r="T29" s="116">
        <f>IF(Operations[[#This Row],[Annual Use]]=0,0,Operations[[#This Row],[Calc Beg Yr. Value]]*'General Variables'!$B$10/Operations[[#This Row],[Annual Use]])</f>
        <v>0</v>
      </c>
      <c r="U29" s="116">
        <f>SUM(Operations[[#This Row],[Depreciation per Unit]:[Opportunity Cost per Unit]])</f>
        <v>0</v>
      </c>
      <c r="W29" s="3" t="s">
        <v>185</v>
      </c>
      <c r="X29" s="3" t="s">
        <v>138</v>
      </c>
      <c r="Y29" s="4" t="s">
        <v>129</v>
      </c>
      <c r="Z29" s="4" t="s">
        <v>136</v>
      </c>
      <c r="AA29" s="6">
        <v>2000</v>
      </c>
    </row>
    <row r="30" spans="1:39" ht="12.75" customHeight="1" x14ac:dyDescent="0.25">
      <c r="A30" s="135" t="s">
        <v>298</v>
      </c>
      <c r="B30" s="136" t="s">
        <v>71</v>
      </c>
      <c r="C30" s="137" t="s">
        <v>345</v>
      </c>
      <c r="D30" s="137" t="s">
        <v>356</v>
      </c>
      <c r="E30" s="138">
        <v>22000</v>
      </c>
      <c r="F30" s="139">
        <v>3000</v>
      </c>
      <c r="G30" s="138">
        <v>5</v>
      </c>
      <c r="H30" s="138">
        <v>1000</v>
      </c>
      <c r="I30" s="143">
        <v>14.666666666666668</v>
      </c>
      <c r="J30" s="141">
        <v>1.1000000000000001</v>
      </c>
      <c r="K30" s="137" t="s">
        <v>470</v>
      </c>
      <c r="L30" s="139">
        <v>3.666666666666667</v>
      </c>
      <c r="M30" s="142"/>
      <c r="N3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5">
        <f>IF(Operations[[#This Row],[Calc List Price]]=0,0,IF(Operations[[#This Row],[Units per Hour]]*Operations[[#This Row],[Annual Use]]=0,0,(Operations[[#This Row],[Calc Beg Yr. Value]]-Operations[[#This Row],[Calc End Yr. Value]])/(Operations[[#This Row],[Annual Use]])))</f>
        <v>0.6541685574786934</v>
      </c>
      <c r="S30" s="116">
        <f>IF(Operations[[#This Row],[Annual Use]]=0,0,Operations[[#This Row],[Calc Beg Yr. Value]]*'General Variables'!$B$9/Operations[[#This Row],[Annual Use]])</f>
        <v>0.18306946022221612</v>
      </c>
      <c r="T30" s="116">
        <f>IF(Operations[[#This Row],[Annual Use]]=0,0,Operations[[#This Row],[Calc Beg Yr. Value]]*'General Variables'!$B$10/Operations[[#This Row],[Annual Use]])</f>
        <v>0.36613892044443225</v>
      </c>
      <c r="U30" s="116">
        <f>SUM(Operations[[#This Row],[Depreciation per Unit]:[Opportunity Cost per Unit]])</f>
        <v>1.2033769381453419</v>
      </c>
      <c r="W30" s="3" t="s">
        <v>186</v>
      </c>
      <c r="X30" s="3" t="s">
        <v>138</v>
      </c>
      <c r="Y30" s="4" t="s">
        <v>187</v>
      </c>
      <c r="Z30" s="4" t="s">
        <v>119</v>
      </c>
      <c r="AA30" s="6">
        <v>1500</v>
      </c>
    </row>
    <row r="31" spans="1:39" ht="12.75" customHeight="1" x14ac:dyDescent="0.25">
      <c r="A31" s="135" t="s">
        <v>299</v>
      </c>
      <c r="B31" s="136" t="s">
        <v>64</v>
      </c>
      <c r="C31" s="137" t="s">
        <v>346</v>
      </c>
      <c r="D31" s="137" t="s">
        <v>359</v>
      </c>
      <c r="E31" s="138">
        <v>21396</v>
      </c>
      <c r="F31" s="139"/>
      <c r="G31" s="138">
        <v>5</v>
      </c>
      <c r="H31" s="138">
        <v>1000</v>
      </c>
      <c r="I31" s="143">
        <v>10</v>
      </c>
      <c r="J31" s="141">
        <v>1.1000000000000001</v>
      </c>
      <c r="K31" s="137" t="s">
        <v>470</v>
      </c>
      <c r="L31" s="139">
        <v>2.8761467889908259</v>
      </c>
      <c r="M31" s="142"/>
      <c r="N3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5">
        <f>IF(Operations[[#This Row],[Calc List Price]]=0,0,IF(Operations[[#This Row],[Units per Hour]]*Operations[[#This Row],[Annual Use]]=0,0,(Operations[[#This Row],[Calc Beg Yr. Value]]-Operations[[#This Row],[Calc End Yr. Value]])/(Operations[[#This Row],[Annual Use]])))</f>
        <v>0.56763030617794086</v>
      </c>
      <c r="S31" s="116">
        <f>IF(Operations[[#This Row],[Annual Use]]=0,0,Operations[[#This Row],[Calc Beg Yr. Value]]*'General Variables'!$B$9/Operations[[#This Row],[Annual Use]])</f>
        <v>0.16777577409001695</v>
      </c>
      <c r="T31" s="116">
        <f>IF(Operations[[#This Row],[Annual Use]]=0,0,Operations[[#This Row],[Calc Beg Yr. Value]]*'General Variables'!$B$10/Operations[[#This Row],[Annual Use]])</f>
        <v>0.33555154818003391</v>
      </c>
      <c r="U31" s="116">
        <f>SUM(Operations[[#This Row],[Depreciation per Unit]:[Opportunity Cost per Unit]])</f>
        <v>1.0709576284479918</v>
      </c>
      <c r="W31" s="3" t="s">
        <v>188</v>
      </c>
      <c r="X31" s="3" t="s">
        <v>131</v>
      </c>
      <c r="Y31" s="4" t="s">
        <v>132</v>
      </c>
      <c r="Z31" s="4" t="s">
        <v>133</v>
      </c>
      <c r="AA31" s="5">
        <v>2000</v>
      </c>
    </row>
    <row r="32" spans="1:39" ht="12.75" customHeight="1" x14ac:dyDescent="0.25">
      <c r="A32" s="135" t="s">
        <v>300</v>
      </c>
      <c r="B32" s="136" t="s">
        <v>64</v>
      </c>
      <c r="C32" s="137" t="s">
        <v>347</v>
      </c>
      <c r="D32" s="137" t="s">
        <v>359</v>
      </c>
      <c r="E32" s="138">
        <v>113735</v>
      </c>
      <c r="F32" s="139"/>
      <c r="G32" s="138">
        <v>5</v>
      </c>
      <c r="H32" s="138">
        <v>1000</v>
      </c>
      <c r="I32" s="143">
        <v>16</v>
      </c>
      <c r="J32" s="141">
        <v>1.1000000000000001</v>
      </c>
      <c r="K32" s="137" t="s">
        <v>470</v>
      </c>
      <c r="L32" s="139">
        <v>6.1859778597785988</v>
      </c>
      <c r="M32" s="142"/>
      <c r="N3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5">
        <f>IF(Operations[[#This Row],[Calc List Price]]=0,0,IF(Operations[[#This Row],[Units per Hour]]*Operations[[#This Row],[Annual Use]]=0,0,(Operations[[#This Row],[Calc Beg Yr. Value]]-Operations[[#This Row],[Calc End Yr. Value]])/(Operations[[#This Row],[Annual Use]])))</f>
        <v>3.0173599211604087</v>
      </c>
      <c r="S32" s="116">
        <f>IF(Operations[[#This Row],[Annual Use]]=0,0,Operations[[#This Row],[Calc Beg Yr. Value]]*'General Variables'!$B$9/Operations[[#This Row],[Annual Use]])</f>
        <v>0.89184789989381563</v>
      </c>
      <c r="T32" s="116">
        <f>IF(Operations[[#This Row],[Annual Use]]=0,0,Operations[[#This Row],[Calc Beg Yr. Value]]*'General Variables'!$B$10/Operations[[#This Row],[Annual Use]])</f>
        <v>1.7836957997876313</v>
      </c>
      <c r="U32" s="116">
        <f>SUM(Operations[[#This Row],[Depreciation per Unit]:[Opportunity Cost per Unit]])</f>
        <v>5.6929036208418555</v>
      </c>
      <c r="W32" s="3" t="s">
        <v>189</v>
      </c>
      <c r="X32" s="3" t="s">
        <v>131</v>
      </c>
      <c r="Y32" s="4" t="s">
        <v>190</v>
      </c>
      <c r="Z32" s="4" t="s">
        <v>162</v>
      </c>
      <c r="AA32" s="6">
        <v>2500</v>
      </c>
    </row>
    <row r="33" spans="1:27" ht="12.75" customHeight="1" x14ac:dyDescent="0.25">
      <c r="A33" s="135" t="s">
        <v>301</v>
      </c>
      <c r="B33" s="136" t="s">
        <v>71</v>
      </c>
      <c r="C33" s="137" t="s">
        <v>348</v>
      </c>
      <c r="D33" s="137" t="s">
        <v>359</v>
      </c>
      <c r="E33" s="148">
        <v>110000</v>
      </c>
      <c r="F33" s="150"/>
      <c r="G33" s="138">
        <v>5</v>
      </c>
      <c r="H33" s="138">
        <v>1000</v>
      </c>
      <c r="I33" s="143">
        <v>6</v>
      </c>
      <c r="J33" s="141">
        <v>1.1000000000000001</v>
      </c>
      <c r="K33" s="137" t="s">
        <v>469</v>
      </c>
      <c r="L33" s="139">
        <v>6.1906976744186046</v>
      </c>
      <c r="M33" s="142"/>
      <c r="N3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5">
        <f>IF(Operations[[#This Row],[Calc List Price]]=0,0,IF(Operations[[#This Row],[Units per Hour]]*Operations[[#This Row],[Annual Use]]=0,0,(Operations[[#This Row],[Calc Beg Yr. Value]]-Operations[[#This Row],[Calc End Yr. Value]])/(Operations[[#This Row],[Annual Use]])))</f>
        <v>2.9182713441565431</v>
      </c>
      <c r="S33" s="116">
        <f>IF(Operations[[#This Row],[Annual Use]]=0,0,Operations[[#This Row],[Calc Beg Yr. Value]]*'General Variables'!$B$9/Operations[[#This Row],[Annual Use]])</f>
        <v>0.86256006496082749</v>
      </c>
      <c r="T33" s="116">
        <f>IF(Operations[[#This Row],[Annual Use]]=0,0,Operations[[#This Row],[Calc Beg Yr. Value]]*'General Variables'!$B$10/Operations[[#This Row],[Annual Use]])</f>
        <v>1.725120129921655</v>
      </c>
      <c r="U33" s="116">
        <f>SUM(Operations[[#This Row],[Depreciation per Unit]:[Opportunity Cost per Unit]])</f>
        <v>5.5059515390390255</v>
      </c>
      <c r="W33" s="3" t="s">
        <v>191</v>
      </c>
      <c r="X33" s="3" t="s">
        <v>131</v>
      </c>
      <c r="Y33" s="4" t="s">
        <v>135</v>
      </c>
      <c r="Z33" s="4" t="s">
        <v>136</v>
      </c>
      <c r="AA33" s="6">
        <v>1200</v>
      </c>
    </row>
    <row r="34" spans="1:27" ht="12.75" customHeight="1" x14ac:dyDescent="0.25">
      <c r="A34" s="135" t="s">
        <v>302</v>
      </c>
      <c r="B34" s="136" t="s">
        <v>64</v>
      </c>
      <c r="C34" s="137" t="s">
        <v>398</v>
      </c>
      <c r="D34" s="137" t="s">
        <v>331</v>
      </c>
      <c r="E34" s="138">
        <v>3971</v>
      </c>
      <c r="F34" s="139"/>
      <c r="G34" s="138">
        <v>5</v>
      </c>
      <c r="H34" s="138">
        <v>3000</v>
      </c>
      <c r="I34" s="143">
        <v>20</v>
      </c>
      <c r="J34" s="141">
        <v>1.1000000000000001</v>
      </c>
      <c r="K34" s="137" t="s">
        <v>470</v>
      </c>
      <c r="L34" s="139">
        <v>4</v>
      </c>
      <c r="M34" s="142"/>
      <c r="N3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5">
        <f>IF(Operations[[#This Row],[Calc List Price]]=0,0,IF(Operations[[#This Row],[Units per Hour]]*Operations[[#This Row],[Annual Use]]=0,0,(Operations[[#This Row],[Calc Beg Yr. Value]]-Operations[[#This Row],[Calc End Yr. Value]])/(Operations[[#This Row],[Annual Use]])))</f>
        <v>2.9707877197956881E-2</v>
      </c>
      <c r="S34" s="116">
        <f>IF(Operations[[#This Row],[Annual Use]]=0,0,Operations[[#This Row],[Calc Beg Yr. Value]]*'General Variables'!$B$9/Operations[[#This Row],[Annual Use]])</f>
        <v>9.1379905934655305E-3</v>
      </c>
      <c r="T34" s="116">
        <f>IF(Operations[[#This Row],[Annual Use]]=0,0,Operations[[#This Row],[Calc Beg Yr. Value]]*'General Variables'!$B$10/Operations[[#This Row],[Annual Use]])</f>
        <v>1.8275981186931061E-2</v>
      </c>
      <c r="U34" s="116">
        <f>SUM(Operations[[#This Row],[Depreciation per Unit]:[Opportunity Cost per Unit]])</f>
        <v>5.7121848978353471E-2</v>
      </c>
      <c r="W34" s="3" t="s">
        <v>192</v>
      </c>
      <c r="X34" s="3" t="s">
        <v>123</v>
      </c>
      <c r="Y34" s="4" t="s">
        <v>193</v>
      </c>
      <c r="Z34" s="4" t="s">
        <v>162</v>
      </c>
      <c r="AA34" s="6">
        <v>1500</v>
      </c>
    </row>
    <row r="35" spans="1:27" ht="12.75" customHeight="1" x14ac:dyDescent="0.25">
      <c r="A35" s="135" t="s">
        <v>303</v>
      </c>
      <c r="B35" s="136" t="s">
        <v>64</v>
      </c>
      <c r="C35" s="137"/>
      <c r="D35" s="137" t="s">
        <v>331</v>
      </c>
      <c r="E35" s="138">
        <v>3971</v>
      </c>
      <c r="F35" s="139"/>
      <c r="G35" s="138">
        <v>5</v>
      </c>
      <c r="H35" s="138">
        <v>3000</v>
      </c>
      <c r="I35" s="143">
        <v>20</v>
      </c>
      <c r="J35" s="141">
        <v>1.1000000000000001</v>
      </c>
      <c r="K35" s="137" t="s">
        <v>470</v>
      </c>
      <c r="L35" s="139">
        <v>4</v>
      </c>
      <c r="M35" s="142"/>
      <c r="N3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5">
        <f>IF(Operations[[#This Row],[Calc List Price]]=0,0,IF(Operations[[#This Row],[Units per Hour]]*Operations[[#This Row],[Annual Use]]=0,0,(Operations[[#This Row],[Calc Beg Yr. Value]]-Operations[[#This Row],[Calc End Yr. Value]])/(Operations[[#This Row],[Annual Use]])))</f>
        <v>2.9707877197956881E-2</v>
      </c>
      <c r="S35" s="116">
        <f>IF(Operations[[#This Row],[Annual Use]]=0,0,Operations[[#This Row],[Calc Beg Yr. Value]]*'General Variables'!$B$9/Operations[[#This Row],[Annual Use]])</f>
        <v>9.1379905934655305E-3</v>
      </c>
      <c r="T35" s="116">
        <f>IF(Operations[[#This Row],[Annual Use]]=0,0,Operations[[#This Row],[Calc Beg Yr. Value]]*'General Variables'!$B$10/Operations[[#This Row],[Annual Use]])</f>
        <v>1.8275981186931061E-2</v>
      </c>
      <c r="U35" s="116">
        <f>SUM(Operations[[#This Row],[Depreciation per Unit]:[Opportunity Cost per Unit]])</f>
        <v>5.7121848978353471E-2</v>
      </c>
      <c r="W35" s="3" t="s">
        <v>194</v>
      </c>
      <c r="X35" s="3" t="s">
        <v>131</v>
      </c>
      <c r="Y35" s="4" t="s">
        <v>182</v>
      </c>
      <c r="Z35" s="4" t="s">
        <v>162</v>
      </c>
      <c r="AA35" s="6">
        <v>3000</v>
      </c>
    </row>
    <row r="36" spans="1:27" ht="12.75" customHeight="1" x14ac:dyDescent="0.25">
      <c r="A36" s="135" t="s">
        <v>304</v>
      </c>
      <c r="B36" s="136" t="s">
        <v>71</v>
      </c>
      <c r="C36" s="137" t="s">
        <v>341</v>
      </c>
      <c r="D36" s="137" t="s">
        <v>358</v>
      </c>
      <c r="E36" s="144">
        <v>125418</v>
      </c>
      <c r="F36" s="139"/>
      <c r="G36" s="138">
        <v>5</v>
      </c>
      <c r="H36" s="138">
        <v>1000</v>
      </c>
      <c r="I36" s="143">
        <v>12</v>
      </c>
      <c r="J36" s="141">
        <v>1.1000000000000001</v>
      </c>
      <c r="K36" s="137" t="s">
        <v>470</v>
      </c>
      <c r="L36" s="139">
        <v>6.0699481865284985</v>
      </c>
      <c r="M36" s="142"/>
      <c r="N3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5">
        <f>IF(Operations[[#This Row],[Calc List Price]]=0,0,IF(Operations[[#This Row],[Units per Hour]]*Operations[[#This Row],[Annual Use]]=0,0,(Operations[[#This Row],[Calc Beg Yr. Value]]-Operations[[#This Row],[Calc End Yr. Value]])/(Operations[[#This Row],[Annual Use]])))</f>
        <v>2.9240480936455571</v>
      </c>
      <c r="S36" s="116">
        <f>IF(Operations[[#This Row],[Annual Use]]=0,0,Operations[[#This Row],[Calc Beg Yr. Value]]*'General Variables'!$B$9/Operations[[#This Row],[Annual Use]])</f>
        <v>1.2594352856932451</v>
      </c>
      <c r="T36" s="116">
        <f>IF(Operations[[#This Row],[Annual Use]]=0,0,Operations[[#This Row],[Calc Beg Yr. Value]]*'General Variables'!$B$10/Operations[[#This Row],[Annual Use]])</f>
        <v>2.5188705713864903</v>
      </c>
      <c r="U36" s="116">
        <f>SUM(Operations[[#This Row],[Depreciation per Unit]:[Opportunity Cost per Unit]])</f>
        <v>6.7023539507252927</v>
      </c>
      <c r="W36" s="3" t="s">
        <v>195</v>
      </c>
      <c r="X36" s="3" t="s">
        <v>131</v>
      </c>
      <c r="Y36" s="4" t="s">
        <v>176</v>
      </c>
      <c r="Z36" s="4" t="s">
        <v>133</v>
      </c>
      <c r="AA36" s="5">
        <v>2000</v>
      </c>
    </row>
    <row r="37" spans="1:27" ht="12.75" customHeight="1" x14ac:dyDescent="0.25">
      <c r="A37" s="135" t="s">
        <v>305</v>
      </c>
      <c r="B37" s="136" t="s">
        <v>71</v>
      </c>
      <c r="C37" s="137" t="s">
        <v>349</v>
      </c>
      <c r="D37" s="137" t="s">
        <v>331</v>
      </c>
      <c r="E37" s="147">
        <v>32000</v>
      </c>
      <c r="F37" s="139"/>
      <c r="G37" s="138">
        <v>5</v>
      </c>
      <c r="H37" s="138">
        <v>1000</v>
      </c>
      <c r="I37" s="143">
        <v>10</v>
      </c>
      <c r="J37" s="141">
        <v>1.1000000000000001</v>
      </c>
      <c r="K37" s="137" t="s">
        <v>470</v>
      </c>
      <c r="L37" s="139">
        <v>6.0734042553191498</v>
      </c>
      <c r="M37" s="142"/>
      <c r="N3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5">
        <f>IF(Operations[[#This Row],[Calc List Price]]=0,0,IF(Operations[[#This Row],[Units per Hour]]*Operations[[#This Row],[Annual Use]]=0,0,(Operations[[#This Row],[Calc Beg Yr. Value]]-Operations[[#This Row],[Calc End Yr. Value]])/(Operations[[#This Row],[Annual Use]])))</f>
        <v>0.71819597355927001</v>
      </c>
      <c r="S37" s="116">
        <f>IF(Operations[[#This Row],[Annual Use]]=0,0,Operations[[#This Row],[Calc Beg Yr. Value]]*'General Variables'!$B$9/Operations[[#This Row],[Annual Use]])</f>
        <v>0.22091339636683227</v>
      </c>
      <c r="T37" s="116">
        <f>IF(Operations[[#This Row],[Annual Use]]=0,0,Operations[[#This Row],[Calc Beg Yr. Value]]*'General Variables'!$B$10/Operations[[#This Row],[Annual Use]])</f>
        <v>0.44182679273366454</v>
      </c>
      <c r="U37" s="116">
        <f>SUM(Operations[[#This Row],[Depreciation per Unit]:[Opportunity Cost per Unit]])</f>
        <v>1.3809361626597667</v>
      </c>
      <c r="W37" s="122" t="s">
        <v>198</v>
      </c>
      <c r="X37" s="104" t="s">
        <v>199</v>
      </c>
      <c r="Y37" s="105">
        <v>0.02</v>
      </c>
      <c r="Z37" s="105">
        <v>1</v>
      </c>
      <c r="AA37" s="123"/>
    </row>
    <row r="38" spans="1:27" ht="12.75" customHeight="1" x14ac:dyDescent="0.25">
      <c r="A38" s="135" t="s">
        <v>306</v>
      </c>
      <c r="B38" s="136" t="s">
        <v>445</v>
      </c>
      <c r="C38" s="137" t="s">
        <v>198</v>
      </c>
      <c r="D38" s="137" t="s">
        <v>357</v>
      </c>
      <c r="E38" s="138"/>
      <c r="F38" s="150">
        <v>7500</v>
      </c>
      <c r="G38" s="138">
        <v>10</v>
      </c>
      <c r="H38" s="144">
        <v>2600</v>
      </c>
      <c r="I38" s="143">
        <v>2.25</v>
      </c>
      <c r="J38" s="149">
        <f>5/24</f>
        <v>0.20833333333333334</v>
      </c>
      <c r="K38" s="137" t="s">
        <v>400</v>
      </c>
      <c r="L38" s="151">
        <v>3.03</v>
      </c>
      <c r="M38" s="142"/>
      <c r="N3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5">
        <f>IF(Operations[[#This Row],[Calc List Price]]=0,0,IF(Operations[[#This Row],[Units per Hour]]*Operations[[#This Row],[Annual Use]]=0,0,(Operations[[#This Row],[Calc Beg Yr. Value]]-Operations[[#This Row],[Calc End Yr. Value]])/(Operations[[#This Row],[Annual Use]])))</f>
        <v>0.16454960303879279</v>
      </c>
      <c r="S38" s="116">
        <f>IF(Operations[[#This Row],[Annual Use]]=0,0,Operations[[#This Row],[Calc Beg Yr. Value]]*'General Variables'!$B$9/Operations[[#This Row],[Annual Use]])</f>
        <v>5.7692307692307696E-2</v>
      </c>
      <c r="T38" s="116">
        <f>IF(Operations[[#This Row],[Annual Use]]=0,0,Operations[[#This Row],[Calc Beg Yr. Value]]*'General Variables'!$B$10/Operations[[#This Row],[Annual Use]])</f>
        <v>0.11538461538461539</v>
      </c>
      <c r="U38" s="116">
        <f>SUM(Operations[[#This Row],[Depreciation per Unit]:[Opportunity Cost per Unit]])</f>
        <v>0.33762652611571586</v>
      </c>
      <c r="W38" s="124" t="s">
        <v>200</v>
      </c>
      <c r="X38" s="125" t="s">
        <v>199</v>
      </c>
      <c r="Y38" s="126">
        <v>0.03</v>
      </c>
      <c r="Z38" s="126">
        <v>1</v>
      </c>
      <c r="AA38" s="127"/>
    </row>
    <row r="39" spans="1:27" ht="12.75" customHeight="1" x14ac:dyDescent="0.25">
      <c r="A39" s="135" t="s">
        <v>307</v>
      </c>
      <c r="B39" s="136" t="s">
        <v>445</v>
      </c>
      <c r="C39" s="137" t="s">
        <v>204</v>
      </c>
      <c r="D39" s="137" t="s">
        <v>383</v>
      </c>
      <c r="E39" s="144">
        <v>65000</v>
      </c>
      <c r="F39" s="139"/>
      <c r="G39" s="138">
        <v>10</v>
      </c>
      <c r="H39" s="138">
        <f>130*20</f>
        <v>2600</v>
      </c>
      <c r="I39" s="143">
        <v>1.8</v>
      </c>
      <c r="J39" s="141">
        <f>1.5/24</f>
        <v>6.25E-2</v>
      </c>
      <c r="K39" s="137" t="s">
        <v>332</v>
      </c>
      <c r="L39" s="139">
        <v>3.34</v>
      </c>
      <c r="M39" s="142"/>
      <c r="N3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5">
        <f>IF(Operations[[#This Row],[Calc List Price]]=0,0,IF(Operations[[#This Row],[Units per Hour]]*Operations[[#This Row],[Annual Use]]=0,0,(Operations[[#This Row],[Calc Beg Yr. Value]]-Operations[[#This Row],[Calc End Yr. Value]])/(Operations[[#This Row],[Annual Use]])))</f>
        <v>0.45387811148149221</v>
      </c>
      <c r="S39" s="116">
        <f>IF(Operations[[#This Row],[Annual Use]]=0,0,Operations[[#This Row],[Calc Beg Yr. Value]]*'General Variables'!$B$9/Operations[[#This Row],[Annual Use]])</f>
        <v>0.14750566652689712</v>
      </c>
      <c r="T39" s="116">
        <f>IF(Operations[[#This Row],[Annual Use]]=0,0,Operations[[#This Row],[Calc Beg Yr. Value]]*'General Variables'!$B$10/Operations[[#This Row],[Annual Use]])</f>
        <v>0.29501133305379423</v>
      </c>
      <c r="U39" s="116">
        <f>SUM(Operations[[#This Row],[Depreciation per Unit]:[Opportunity Cost per Unit]])</f>
        <v>0.8963951110621835</v>
      </c>
      <c r="W39" s="122" t="s">
        <v>201</v>
      </c>
      <c r="X39" s="104" t="s">
        <v>199</v>
      </c>
      <c r="Y39" s="105">
        <v>0.02</v>
      </c>
      <c r="Z39" s="105">
        <v>1</v>
      </c>
      <c r="AA39" s="123"/>
    </row>
    <row r="40" spans="1:27" ht="12.75" customHeight="1" x14ac:dyDescent="0.25">
      <c r="A40" s="135" t="s">
        <v>545</v>
      </c>
      <c r="B40" s="136" t="s">
        <v>445</v>
      </c>
      <c r="C40" s="137" t="s">
        <v>204</v>
      </c>
      <c r="D40" s="137" t="s">
        <v>383</v>
      </c>
      <c r="E40" s="144">
        <v>70000</v>
      </c>
      <c r="F40" s="139"/>
      <c r="G40" s="138">
        <v>10</v>
      </c>
      <c r="H40" s="138">
        <f>130*20</f>
        <v>2600</v>
      </c>
      <c r="I40" s="143">
        <v>1.8</v>
      </c>
      <c r="J40" s="141">
        <f>2/24</f>
        <v>8.3333333333333329E-2</v>
      </c>
      <c r="K40" s="137" t="s">
        <v>332</v>
      </c>
      <c r="L40" s="139">
        <v>3.34</v>
      </c>
      <c r="M40" s="142"/>
      <c r="N4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5">
        <f>IF(Operations[[#This Row],[Calc List Price]]=0,0,IF(Operations[[#This Row],[Units per Hour]]*Operations[[#This Row],[Annual Use]]=0,0,(Operations[[#This Row],[Calc Beg Yr. Value]]-Operations[[#This Row],[Calc End Yr. Value]])/(Operations[[#This Row],[Annual Use]])))</f>
        <v>0.48879181236468305</v>
      </c>
      <c r="S40" s="116">
        <f>IF(Operations[[#This Row],[Annual Use]]=0,0,Operations[[#This Row],[Calc Beg Yr. Value]]*'General Variables'!$B$9/Operations[[#This Row],[Annual Use]])</f>
        <v>0.15885225625973537</v>
      </c>
      <c r="T40" s="116">
        <f>IF(Operations[[#This Row],[Annual Use]]=0,0,Operations[[#This Row],[Calc Beg Yr. Value]]*'General Variables'!$B$10/Operations[[#This Row],[Annual Use]])</f>
        <v>0.31770451251947074</v>
      </c>
      <c r="U40" s="116">
        <f>SUM(Operations[[#This Row],[Depreciation per Unit]:[Opportunity Cost per Unit]])</f>
        <v>0.96534858114388922</v>
      </c>
      <c r="W40" s="124" t="s">
        <v>202</v>
      </c>
      <c r="X40" s="125" t="s">
        <v>199</v>
      </c>
      <c r="Y40" s="126">
        <v>0.06</v>
      </c>
      <c r="Z40" s="126">
        <v>1</v>
      </c>
      <c r="AA40" s="127"/>
    </row>
    <row r="41" spans="1:27" ht="12.75" customHeight="1" x14ac:dyDescent="0.25">
      <c r="A41" s="135" t="s">
        <v>308</v>
      </c>
      <c r="B41" s="136" t="s">
        <v>445</v>
      </c>
      <c r="C41" s="137" t="s">
        <v>204</v>
      </c>
      <c r="D41" s="137" t="s">
        <v>383</v>
      </c>
      <c r="E41" s="144">
        <v>65000</v>
      </c>
      <c r="F41" s="139"/>
      <c r="G41" s="138">
        <v>10</v>
      </c>
      <c r="H41" s="138">
        <f>130*20</f>
        <v>2600</v>
      </c>
      <c r="I41" s="143">
        <v>1.8</v>
      </c>
      <c r="J41" s="141">
        <f>1.5/24</f>
        <v>6.25E-2</v>
      </c>
      <c r="K41" s="137" t="s">
        <v>334</v>
      </c>
      <c r="L41" s="139"/>
      <c r="M41" s="142">
        <v>47.78</v>
      </c>
      <c r="N4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5">
        <f>IF(Operations[[#This Row],[Calc List Price]]=0,0,IF(Operations[[#This Row],[Units per Hour]]*Operations[[#This Row],[Annual Use]]=0,0,(Operations[[#This Row],[Calc Beg Yr. Value]]-Operations[[#This Row],[Calc End Yr. Value]])/(Operations[[#This Row],[Annual Use]])))</f>
        <v>0.45387811148149221</v>
      </c>
      <c r="S41" s="116">
        <f>IF(Operations[[#This Row],[Annual Use]]=0,0,Operations[[#This Row],[Calc Beg Yr. Value]]*'General Variables'!$B$9/Operations[[#This Row],[Annual Use]])</f>
        <v>0.14750566652689712</v>
      </c>
      <c r="T41" s="116">
        <f>IF(Operations[[#This Row],[Annual Use]]=0,0,Operations[[#This Row],[Calc Beg Yr. Value]]*'General Variables'!$B$10/Operations[[#This Row],[Annual Use]])</f>
        <v>0.29501133305379423</v>
      </c>
      <c r="U41" s="116">
        <f>SUM(Operations[[#This Row],[Depreciation per Unit]:[Opportunity Cost per Unit]])</f>
        <v>0.8963951110621835</v>
      </c>
      <c r="W41" s="122" t="s">
        <v>203</v>
      </c>
      <c r="X41" s="104" t="s">
        <v>199</v>
      </c>
      <c r="Y41" s="105">
        <v>0.06</v>
      </c>
      <c r="Z41" s="105">
        <v>1</v>
      </c>
      <c r="AA41" s="123"/>
    </row>
    <row r="42" spans="1:27" ht="12.75" customHeight="1" x14ac:dyDescent="0.25">
      <c r="A42" s="135" t="s">
        <v>555</v>
      </c>
      <c r="B42" s="136" t="s">
        <v>445</v>
      </c>
      <c r="C42" s="137" t="s">
        <v>204</v>
      </c>
      <c r="D42" s="137" t="s">
        <v>383</v>
      </c>
      <c r="E42" s="144">
        <v>70000</v>
      </c>
      <c r="F42" s="139"/>
      <c r="G42" s="138">
        <v>10</v>
      </c>
      <c r="H42" s="138">
        <f>130*20</f>
        <v>2600</v>
      </c>
      <c r="I42" s="143">
        <v>1.8</v>
      </c>
      <c r="J42" s="141">
        <f>2/24</f>
        <v>8.3333333333333329E-2</v>
      </c>
      <c r="K42" s="137" t="s">
        <v>334</v>
      </c>
      <c r="L42" s="139"/>
      <c r="M42" s="142">
        <v>47.78</v>
      </c>
      <c r="N4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5">
        <f>IF(Operations[[#This Row],[Calc List Price]]=0,0,IF(Operations[[#This Row],[Units per Hour]]*Operations[[#This Row],[Annual Use]]=0,0,(Operations[[#This Row],[Calc Beg Yr. Value]]-Operations[[#This Row],[Calc End Yr. Value]])/(Operations[[#This Row],[Annual Use]])))</f>
        <v>0.48879181236468305</v>
      </c>
      <c r="S42" s="116">
        <f>IF(Operations[[#This Row],[Annual Use]]=0,0,Operations[[#This Row],[Calc Beg Yr. Value]]*'General Variables'!$B$9/Operations[[#This Row],[Annual Use]])</f>
        <v>0.15885225625973537</v>
      </c>
      <c r="T42" s="116">
        <f>IF(Operations[[#This Row],[Annual Use]]=0,0,Operations[[#This Row],[Calc Beg Yr. Value]]*'General Variables'!$B$10/Operations[[#This Row],[Annual Use]])</f>
        <v>0.31770451251947074</v>
      </c>
      <c r="U42" s="116">
        <f>SUM(Operations[[#This Row],[Depreciation per Unit]:[Opportunity Cost per Unit]])</f>
        <v>0.96534858114388922</v>
      </c>
      <c r="W42" s="124" t="s">
        <v>204</v>
      </c>
      <c r="X42" s="125" t="s">
        <v>199</v>
      </c>
      <c r="Y42" s="126">
        <v>4.1500000000000002E-2</v>
      </c>
      <c r="Z42" s="126">
        <v>1</v>
      </c>
      <c r="AA42" s="127"/>
    </row>
    <row r="43" spans="1:27" ht="12.75" customHeight="1" x14ac:dyDescent="0.25">
      <c r="A43" s="135" t="s">
        <v>309</v>
      </c>
      <c r="B43" s="136" t="s">
        <v>71</v>
      </c>
      <c r="C43" s="137" t="s">
        <v>350</v>
      </c>
      <c r="D43" s="137" t="s">
        <v>358</v>
      </c>
      <c r="E43" s="144">
        <v>71400</v>
      </c>
      <c r="F43" s="139"/>
      <c r="G43" s="138">
        <v>5</v>
      </c>
      <c r="H43" s="138">
        <v>1000</v>
      </c>
      <c r="I43" s="143">
        <v>10</v>
      </c>
      <c r="J43" s="141">
        <v>1.2</v>
      </c>
      <c r="K43" s="137" t="s">
        <v>470</v>
      </c>
      <c r="L43" s="139">
        <v>2.73</v>
      </c>
      <c r="M43" s="142"/>
      <c r="N4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5">
        <f>IF(Operations[[#This Row],[Calc List Price]]=0,0,IF(Operations[[#This Row],[Units per Hour]]*Operations[[#This Row],[Annual Use]]=0,0,(Operations[[#This Row],[Calc Beg Yr. Value]]-Operations[[#This Row],[Calc End Yr. Value]])/(Operations[[#This Row],[Annual Use]])))</f>
        <v>1.6646496825518915</v>
      </c>
      <c r="S43" s="116">
        <f>IF(Operations[[#This Row],[Annual Use]]=0,0,Operations[[#This Row],[Calc Beg Yr. Value]]*'General Variables'!$B$9/Operations[[#This Row],[Annual Use]])</f>
        <v>0.71699181456009264</v>
      </c>
      <c r="T43" s="116">
        <f>IF(Operations[[#This Row],[Annual Use]]=0,0,Operations[[#This Row],[Calc Beg Yr. Value]]*'General Variables'!$B$10/Operations[[#This Row],[Annual Use]])</f>
        <v>1.4339836291201853</v>
      </c>
      <c r="U43" s="116">
        <f>SUM(Operations[[#This Row],[Depreciation per Unit]:[Opportunity Cost per Unit]])</f>
        <v>3.8156251262321694</v>
      </c>
      <c r="W43" s="122" t="s">
        <v>205</v>
      </c>
      <c r="X43" s="104" t="s">
        <v>199</v>
      </c>
      <c r="Y43" s="105">
        <v>0.06</v>
      </c>
      <c r="Z43" s="105">
        <v>1</v>
      </c>
      <c r="AA43" s="123"/>
    </row>
    <row r="44" spans="1:27" ht="12.75" customHeight="1" x14ac:dyDescent="0.25">
      <c r="A44" s="135" t="s">
        <v>310</v>
      </c>
      <c r="B44" s="136" t="s">
        <v>71</v>
      </c>
      <c r="C44" s="137" t="s">
        <v>350</v>
      </c>
      <c r="D44" s="137" t="s">
        <v>358</v>
      </c>
      <c r="E44" s="138">
        <v>71400</v>
      </c>
      <c r="F44" s="139"/>
      <c r="G44" s="138">
        <v>5</v>
      </c>
      <c r="H44" s="138">
        <v>1000</v>
      </c>
      <c r="I44" s="143">
        <v>10</v>
      </c>
      <c r="J44" s="141">
        <v>1.2</v>
      </c>
      <c r="K44" s="137" t="s">
        <v>470</v>
      </c>
      <c r="L44" s="139">
        <v>2.580373831775701</v>
      </c>
      <c r="M44" s="142"/>
      <c r="N4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5">
        <f>IF(Operations[[#This Row],[Calc List Price]]=0,0,IF(Operations[[#This Row],[Units per Hour]]*Operations[[#This Row],[Annual Use]]=0,0,(Operations[[#This Row],[Calc Beg Yr. Value]]-Operations[[#This Row],[Calc End Yr. Value]])/(Operations[[#This Row],[Annual Use]])))</f>
        <v>1.6646496825518915</v>
      </c>
      <c r="S44" s="116">
        <f>IF(Operations[[#This Row],[Annual Use]]=0,0,Operations[[#This Row],[Calc Beg Yr. Value]]*'General Variables'!$B$9/Operations[[#This Row],[Annual Use]])</f>
        <v>0.71699181456009264</v>
      </c>
      <c r="T44" s="116">
        <f>IF(Operations[[#This Row],[Annual Use]]=0,0,Operations[[#This Row],[Calc Beg Yr. Value]]*'General Variables'!$B$10/Operations[[#This Row],[Annual Use]])</f>
        <v>1.4339836291201853</v>
      </c>
      <c r="U44" s="116">
        <f>SUM(Operations[[#This Row],[Depreciation per Unit]:[Opportunity Cost per Unit]])</f>
        <v>3.8156251262321694</v>
      </c>
      <c r="W44" s="124" t="s">
        <v>206</v>
      </c>
      <c r="X44" s="125" t="s">
        <v>199</v>
      </c>
      <c r="Y44" s="126">
        <v>0.06</v>
      </c>
      <c r="Z44" s="126">
        <v>1</v>
      </c>
      <c r="AA44" s="127"/>
    </row>
    <row r="45" spans="1:27" ht="12.75" customHeight="1" x14ac:dyDescent="0.25">
      <c r="A45" s="135" t="s">
        <v>311</v>
      </c>
      <c r="B45" s="136" t="s">
        <v>71</v>
      </c>
      <c r="C45" s="137" t="s">
        <v>350</v>
      </c>
      <c r="D45" s="137" t="s">
        <v>358</v>
      </c>
      <c r="E45" s="144">
        <v>125418</v>
      </c>
      <c r="F45" s="139"/>
      <c r="G45" s="138">
        <v>5</v>
      </c>
      <c r="H45" s="144">
        <v>1000</v>
      </c>
      <c r="I45" s="143">
        <v>10</v>
      </c>
      <c r="J45" s="141">
        <v>1.2</v>
      </c>
      <c r="K45" s="137" t="s">
        <v>470</v>
      </c>
      <c r="L45" s="139">
        <v>3.38</v>
      </c>
      <c r="M45" s="142"/>
      <c r="N4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5">
        <f>IF(Operations[[#This Row],[Calc List Price]]=0,0,IF(Operations[[#This Row],[Units per Hour]]*Operations[[#This Row],[Annual Use]]=0,0,(Operations[[#This Row],[Calc Beg Yr. Value]]-Operations[[#This Row],[Calc End Yr. Value]])/(Operations[[#This Row],[Annual Use]])))</f>
        <v>2.9240480936455571</v>
      </c>
      <c r="S45" s="116">
        <f>IF(Operations[[#This Row],[Annual Use]]=0,0,Operations[[#This Row],[Calc Beg Yr. Value]]*'General Variables'!$B$9/Operations[[#This Row],[Annual Use]])</f>
        <v>1.2594352856932451</v>
      </c>
      <c r="T45" s="116">
        <f>IF(Operations[[#This Row],[Annual Use]]=0,0,Operations[[#This Row],[Calc Beg Yr. Value]]*'General Variables'!$B$10/Operations[[#This Row],[Annual Use]])</f>
        <v>2.5188705713864903</v>
      </c>
      <c r="U45" s="116">
        <f>SUM(Operations[[#This Row],[Depreciation per Unit]:[Opportunity Cost per Unit]])</f>
        <v>6.7023539507252927</v>
      </c>
      <c r="W45" s="122" t="s">
        <v>207</v>
      </c>
      <c r="X45" s="104" t="s">
        <v>199</v>
      </c>
      <c r="Y45" s="105">
        <v>0.06</v>
      </c>
      <c r="Z45" s="105">
        <v>1</v>
      </c>
      <c r="AA45" s="123"/>
    </row>
    <row r="46" spans="1:27" ht="12.75" customHeight="1" x14ac:dyDescent="0.25">
      <c r="A46" s="135" t="s">
        <v>547</v>
      </c>
      <c r="B46" s="136" t="s">
        <v>71</v>
      </c>
      <c r="C46" s="137" t="s">
        <v>549</v>
      </c>
      <c r="D46" s="137" t="s">
        <v>550</v>
      </c>
      <c r="E46" s="138">
        <v>14781</v>
      </c>
      <c r="F46" s="139"/>
      <c r="G46" s="138">
        <v>5</v>
      </c>
      <c r="H46" s="144">
        <v>1000</v>
      </c>
      <c r="I46" s="143">
        <v>7.5</v>
      </c>
      <c r="J46" s="141">
        <v>1.1000000000000001</v>
      </c>
      <c r="K46" s="137" t="s">
        <v>469</v>
      </c>
      <c r="L46" s="139">
        <v>6</v>
      </c>
      <c r="M46" s="142"/>
      <c r="N4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5">
        <f>IF(Operations[[#This Row],[Calc List Price]]=0,0,IF(Operations[[#This Row],[Units per Hour]]*Operations[[#This Row],[Annual Use]]=0,0,(Operations[[#This Row],[Calc Beg Yr. Value]]-Operations[[#This Row],[Calc End Yr. Value]])/(Operations[[#This Row],[Annual Use]])))</f>
        <v>0.19901931849212451</v>
      </c>
      <c r="S46" s="116">
        <f>IF(Operations[[#This Row],[Annual Use]]=0,0,Operations[[#This Row],[Calc Beg Yr. Value]]*'General Variables'!$B$9/Operations[[#This Row],[Annual Use]])</f>
        <v>0.11509277292618304</v>
      </c>
      <c r="T46" s="116">
        <f>IF(Operations[[#This Row],[Annual Use]]=0,0,Operations[[#This Row],[Calc Beg Yr. Value]]*'General Variables'!$B$10/Operations[[#This Row],[Annual Use]])</f>
        <v>0.23018554585236609</v>
      </c>
      <c r="U46" s="116">
        <f>SUM(Operations[[#This Row],[Depreciation per Unit]:[Opportunity Cost per Unit]])</f>
        <v>0.5442976372706736</v>
      </c>
      <c r="W46" s="124" t="s">
        <v>208</v>
      </c>
      <c r="X46" s="125" t="s">
        <v>199</v>
      </c>
      <c r="Y46" s="126">
        <v>0.02</v>
      </c>
      <c r="Z46" s="126">
        <v>1</v>
      </c>
      <c r="AA46" s="127"/>
    </row>
    <row r="47" spans="1:27" ht="12.75" customHeight="1" x14ac:dyDescent="0.25">
      <c r="A47" s="135" t="s">
        <v>594</v>
      </c>
      <c r="B47" s="136" t="s">
        <v>71</v>
      </c>
      <c r="C47" s="137" t="s">
        <v>344</v>
      </c>
      <c r="D47" s="137" t="s">
        <v>356</v>
      </c>
      <c r="E47" s="138">
        <v>29000</v>
      </c>
      <c r="F47" s="139">
        <v>4500</v>
      </c>
      <c r="G47" s="138">
        <v>5</v>
      </c>
      <c r="H47" s="138">
        <v>1000</v>
      </c>
      <c r="I47" s="143">
        <v>12</v>
      </c>
      <c r="J47" s="141">
        <v>1.1000000000000001</v>
      </c>
      <c r="K47" s="137" t="s">
        <v>470</v>
      </c>
      <c r="L47" s="139">
        <v>5.332019704433498</v>
      </c>
      <c r="M47" s="142"/>
      <c r="N4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5">
        <f>IF(Operations[[#This Row],[Calc List Price]]=0,0,IF(Operations[[#This Row],[Units per Hour]]*Operations[[#This Row],[Annual Use]]=0,0,(Operations[[#This Row],[Calc Beg Yr. Value]]-Operations[[#This Row],[Calc End Yr. Value]])/(Operations[[#This Row],[Annual Use]])))</f>
        <v>0.86231309849464011</v>
      </c>
      <c r="S47" s="116">
        <f>IF(Operations[[#This Row],[Annual Use]]=0,0,Operations[[#This Row],[Calc Beg Yr. Value]]*'General Variables'!$B$9/Operations[[#This Row],[Annual Use]])</f>
        <v>0.24131883392928485</v>
      </c>
      <c r="T47" s="116">
        <f>IF(Operations[[#This Row],[Annual Use]]=0,0,Operations[[#This Row],[Calc Beg Yr. Value]]*'General Variables'!$B$10/Operations[[#This Row],[Annual Use]])</f>
        <v>0.48263766785856971</v>
      </c>
      <c r="U47" s="116">
        <f>SUM(Operations[[#This Row],[Depreciation per Unit]:[Opportunity Cost per Unit]])</f>
        <v>1.5862696002824948</v>
      </c>
      <c r="W47" s="122" t="s">
        <v>209</v>
      </c>
      <c r="X47" s="104" t="s">
        <v>199</v>
      </c>
      <c r="Y47" s="105">
        <v>0.01</v>
      </c>
      <c r="Z47" s="105">
        <v>1</v>
      </c>
      <c r="AA47" s="123"/>
    </row>
    <row r="48" spans="1:27" ht="12.75" customHeight="1" x14ac:dyDescent="0.25">
      <c r="A48" s="135" t="s">
        <v>312</v>
      </c>
      <c r="B48" s="136" t="s">
        <v>71</v>
      </c>
      <c r="C48" s="137" t="s">
        <v>344</v>
      </c>
      <c r="D48" s="137" t="s">
        <v>356</v>
      </c>
      <c r="E48" s="147">
        <v>29000</v>
      </c>
      <c r="F48" s="139"/>
      <c r="G48" s="138">
        <v>5</v>
      </c>
      <c r="H48" s="138">
        <v>1500</v>
      </c>
      <c r="I48" s="145">
        <v>10</v>
      </c>
      <c r="J48" s="141">
        <v>1</v>
      </c>
      <c r="K48" s="137" t="s">
        <v>470</v>
      </c>
      <c r="L48" s="139">
        <v>5.332019704433498</v>
      </c>
      <c r="M48" s="142"/>
      <c r="N4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5">
        <f>IF(Operations[[#This Row],[Calc List Price]]=0,0,IF(Operations[[#This Row],[Units per Hour]]*Operations[[#This Row],[Annual Use]]=0,0,(Operations[[#This Row],[Calc Beg Yr. Value]]-Operations[[#This Row],[Calc End Yr. Value]])/(Operations[[#This Row],[Annual Use]])))</f>
        <v>0.57487539899642681</v>
      </c>
      <c r="S48" s="116">
        <f>IF(Operations[[#This Row],[Annual Use]]=0,0,Operations[[#This Row],[Calc Beg Yr. Value]]*'General Variables'!$B$9/Operations[[#This Row],[Annual Use]])</f>
        <v>0.16087922261952325</v>
      </c>
      <c r="T48" s="116">
        <f>IF(Operations[[#This Row],[Annual Use]]=0,0,Operations[[#This Row],[Calc Beg Yr. Value]]*'General Variables'!$B$10/Operations[[#This Row],[Annual Use]])</f>
        <v>0.32175844523904651</v>
      </c>
      <c r="U48" s="116">
        <f>SUM(Operations[[#This Row],[Depreciation per Unit]:[Opportunity Cost per Unit]])</f>
        <v>1.0575130668549966</v>
      </c>
      <c r="W48" s="122" t="s">
        <v>210</v>
      </c>
      <c r="X48" s="104" t="s">
        <v>199</v>
      </c>
      <c r="Y48" s="105">
        <v>0.03</v>
      </c>
      <c r="Z48" s="105">
        <v>1</v>
      </c>
      <c r="AA48" s="123"/>
    </row>
    <row r="49" spans="1:21" ht="12.75" customHeight="1" x14ac:dyDescent="0.2">
      <c r="A49" s="135" t="s">
        <v>313</v>
      </c>
      <c r="B49" s="136" t="s">
        <v>71</v>
      </c>
      <c r="C49" s="137" t="s">
        <v>350</v>
      </c>
      <c r="D49" s="137" t="s">
        <v>356</v>
      </c>
      <c r="E49" s="147">
        <v>125418</v>
      </c>
      <c r="F49" s="139"/>
      <c r="G49" s="138">
        <v>5</v>
      </c>
      <c r="H49" s="138">
        <v>1500</v>
      </c>
      <c r="I49" s="143">
        <v>10</v>
      </c>
      <c r="J49" s="141">
        <v>1.2</v>
      </c>
      <c r="K49" s="137" t="s">
        <v>470</v>
      </c>
      <c r="L49" s="139">
        <v>3.4073170731707321</v>
      </c>
      <c r="M49" s="142"/>
      <c r="N4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5">
        <f>IF(Operations[[#This Row],[Calc List Price]]=0,0,IF(Operations[[#This Row],[Units per Hour]]*Operations[[#This Row],[Annual Use]]=0,0,(Operations[[#This Row],[Calc Beg Yr. Value]]-Operations[[#This Row],[Calc End Yr. Value]])/(Operations[[#This Row],[Annual Use]])))</f>
        <v>2.4861973376322033</v>
      </c>
      <c r="S49" s="116">
        <f>IF(Operations[[#This Row],[Annual Use]]=0,0,Operations[[#This Row],[Calc Beg Yr. Value]]*'General Variables'!$B$9/Operations[[#This Row],[Annual Use]])</f>
        <v>0.69576380491363332</v>
      </c>
      <c r="T49" s="116">
        <f>IF(Operations[[#This Row],[Annual Use]]=0,0,Operations[[#This Row],[Calc Beg Yr. Value]]*'General Variables'!$B$10/Operations[[#This Row],[Annual Use]])</f>
        <v>1.3915276098272666</v>
      </c>
      <c r="U49" s="116">
        <f>SUM(Operations[[#This Row],[Depreciation per Unit]:[Opportunity Cost per Unit]])</f>
        <v>4.5734887523731036</v>
      </c>
    </row>
    <row r="50" spans="1:21" ht="12.75" customHeight="1" x14ac:dyDescent="0.2">
      <c r="A50" s="135" t="s">
        <v>567</v>
      </c>
      <c r="B50" s="136" t="s">
        <v>71</v>
      </c>
      <c r="C50" s="137" t="s">
        <v>350</v>
      </c>
      <c r="D50" s="137" t="s">
        <v>356</v>
      </c>
      <c r="E50" s="147">
        <v>128418</v>
      </c>
      <c r="F50" s="139"/>
      <c r="G50" s="138">
        <v>5</v>
      </c>
      <c r="H50" s="138">
        <v>1500</v>
      </c>
      <c r="I50" s="143">
        <v>10</v>
      </c>
      <c r="J50" s="141">
        <v>1.2</v>
      </c>
      <c r="K50" s="137" t="s">
        <v>470</v>
      </c>
      <c r="L50" s="139">
        <v>3.41</v>
      </c>
      <c r="M50" s="142"/>
      <c r="N5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5">
        <f>IF(Operations[[#This Row],[Calc List Price]]=0,0,IF(Operations[[#This Row],[Units per Hour]]*Operations[[#This Row],[Annual Use]]=0,0,(Operations[[#This Row],[Calc Beg Yr. Value]]-Operations[[#This Row],[Calc End Yr. Value]])/(Operations[[#This Row],[Annual Use]])))</f>
        <v>2.5456672064939001</v>
      </c>
      <c r="S50" s="116">
        <f>IF(Operations[[#This Row],[Annual Use]]=0,0,Operations[[#This Row],[Calc Beg Yr. Value]]*'General Variables'!$B$9/Operations[[#This Row],[Annual Use]])</f>
        <v>0.71240648311565291</v>
      </c>
      <c r="T50" s="116">
        <f>IF(Operations[[#This Row],[Annual Use]]=0,0,Operations[[#This Row],[Calc Beg Yr. Value]]*'General Variables'!$B$10/Operations[[#This Row],[Annual Use]])</f>
        <v>1.4248129662313058</v>
      </c>
      <c r="U50" s="116">
        <f>SUM(Operations[[#This Row],[Depreciation per Unit]:[Opportunity Cost per Unit]])</f>
        <v>4.6828866558408588</v>
      </c>
    </row>
    <row r="51" spans="1:21" ht="12.75" customHeight="1" x14ac:dyDescent="0.2">
      <c r="A51" s="135" t="s">
        <v>314</v>
      </c>
      <c r="B51" s="136" t="s">
        <v>71</v>
      </c>
      <c r="C51" s="137" t="s">
        <v>351</v>
      </c>
      <c r="D51" s="137" t="s">
        <v>356</v>
      </c>
      <c r="E51" s="138"/>
      <c r="F51" s="139">
        <v>7500</v>
      </c>
      <c r="G51" s="138">
        <v>5</v>
      </c>
      <c r="H51" s="138">
        <v>1000</v>
      </c>
      <c r="I51" s="143">
        <v>13.200000000000001</v>
      </c>
      <c r="J51" s="141">
        <v>1</v>
      </c>
      <c r="K51" s="137" t="s">
        <v>470</v>
      </c>
      <c r="L51" s="139">
        <v>5.346000000000001</v>
      </c>
      <c r="M51" s="142"/>
      <c r="N5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5">
        <f>IF(Operations[[#This Row],[Calc List Price]]=0,0,IF(Operations[[#This Row],[Units per Hour]]*Operations[[#This Row],[Annual Use]]=0,0,(Operations[[#This Row],[Calc Beg Yr. Value]]-Operations[[#This Row],[Calc End Yr. Value]])/(Operations[[#This Row],[Annual Use]])))</f>
        <v>0.53600028919458231</v>
      </c>
      <c r="S51" s="116">
        <f>IF(Operations[[#This Row],[Annual Use]]=0,0,Operations[[#This Row],[Calc Beg Yr. Value]]*'General Variables'!$B$9/Operations[[#This Row],[Annual Use]])</f>
        <v>0.15</v>
      </c>
      <c r="T51" s="116">
        <f>IF(Operations[[#This Row],[Annual Use]]=0,0,Operations[[#This Row],[Calc Beg Yr. Value]]*'General Variables'!$B$10/Operations[[#This Row],[Annual Use]])</f>
        <v>0.3</v>
      </c>
      <c r="U51" s="116">
        <f>SUM(Operations[[#This Row],[Depreciation per Unit]:[Opportunity Cost per Unit]])</f>
        <v>0.98600028919458227</v>
      </c>
    </row>
    <row r="52" spans="1:21" ht="12.75" customHeight="1" x14ac:dyDescent="0.2">
      <c r="A52" s="135" t="s">
        <v>565</v>
      </c>
      <c r="B52" s="136" t="s">
        <v>71</v>
      </c>
      <c r="C52" s="137" t="s">
        <v>351</v>
      </c>
      <c r="D52" s="137" t="s">
        <v>356</v>
      </c>
      <c r="E52" s="138"/>
      <c r="F52" s="139">
        <v>7500</v>
      </c>
      <c r="G52" s="138">
        <v>5</v>
      </c>
      <c r="H52" s="138">
        <v>1000</v>
      </c>
      <c r="I52" s="143">
        <v>13.200000000000001</v>
      </c>
      <c r="J52" s="141">
        <v>1.2</v>
      </c>
      <c r="K52" s="137" t="s">
        <v>470</v>
      </c>
      <c r="L52" s="139">
        <v>5.346000000000001</v>
      </c>
      <c r="M52" s="142"/>
      <c r="N5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5">
        <f>IF(Operations[[#This Row],[Calc List Price]]=0,0,IF(Operations[[#This Row],[Units per Hour]]*Operations[[#This Row],[Annual Use]]=0,0,(Operations[[#This Row],[Calc Beg Yr. Value]]-Operations[[#This Row],[Calc End Yr. Value]])/(Operations[[#This Row],[Annual Use]])))</f>
        <v>0.53600028919458231</v>
      </c>
      <c r="S52" s="116">
        <f>IF(Operations[[#This Row],[Annual Use]]=0,0,Operations[[#This Row],[Calc Beg Yr. Value]]*'General Variables'!$B$9/Operations[[#This Row],[Annual Use]])</f>
        <v>0.15</v>
      </c>
      <c r="T52" s="116">
        <f>IF(Operations[[#This Row],[Annual Use]]=0,0,Operations[[#This Row],[Calc Beg Yr. Value]]*'General Variables'!$B$10/Operations[[#This Row],[Annual Use]])</f>
        <v>0.3</v>
      </c>
      <c r="U52" s="116">
        <f>SUM(Operations[[#This Row],[Depreciation per Unit]:[Opportunity Cost per Unit]])</f>
        <v>0.98600028919458227</v>
      </c>
    </row>
    <row r="53" spans="1:21" ht="12.75" customHeight="1" x14ac:dyDescent="0.2">
      <c r="A53" s="135" t="s">
        <v>315</v>
      </c>
      <c r="B53" s="136" t="s">
        <v>71</v>
      </c>
      <c r="C53" s="137" t="s">
        <v>342</v>
      </c>
      <c r="D53" s="137" t="s">
        <v>356</v>
      </c>
      <c r="E53" s="138"/>
      <c r="F53" s="139"/>
      <c r="G53" s="138">
        <v>5</v>
      </c>
      <c r="H53" s="138">
        <v>300</v>
      </c>
      <c r="I53" s="145">
        <v>9</v>
      </c>
      <c r="J53" s="141">
        <v>1</v>
      </c>
      <c r="K53" s="137" t="s">
        <v>470</v>
      </c>
      <c r="L53" s="139">
        <v>5.4586466165413539</v>
      </c>
      <c r="M53" s="142"/>
      <c r="N5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5">
        <f>IF(Operations[[#This Row],[Calc List Price]]=0,0,IF(Operations[[#This Row],[Units per Hour]]*Operations[[#This Row],[Annual Use]]=0,0,(Operations[[#This Row],[Calc Beg Yr. Value]]-Operations[[#This Row],[Calc End Yr. Value]])/(Operations[[#This Row],[Annual Use]])))</f>
        <v>0</v>
      </c>
      <c r="S53" s="116">
        <f>IF(Operations[[#This Row],[Annual Use]]=0,0,Operations[[#This Row],[Calc Beg Yr. Value]]*'General Variables'!$B$9/Operations[[#This Row],[Annual Use]])</f>
        <v>0</v>
      </c>
      <c r="T53" s="116">
        <f>IF(Operations[[#This Row],[Annual Use]]=0,0,Operations[[#This Row],[Calc Beg Yr. Value]]*'General Variables'!$B$10/Operations[[#This Row],[Annual Use]])</f>
        <v>0</v>
      </c>
      <c r="U53" s="116">
        <f>SUM(Operations[[#This Row],[Depreciation per Unit]:[Opportunity Cost per Unit]])</f>
        <v>0</v>
      </c>
    </row>
    <row r="54" spans="1:21" ht="12.75" customHeight="1" x14ac:dyDescent="0.2">
      <c r="A54" s="135" t="s">
        <v>548</v>
      </c>
      <c r="B54" s="136" t="s">
        <v>71</v>
      </c>
      <c r="C54" s="137" t="s">
        <v>342</v>
      </c>
      <c r="D54" s="137" t="s">
        <v>356</v>
      </c>
      <c r="E54" s="147">
        <v>56958</v>
      </c>
      <c r="F54" s="139"/>
      <c r="G54" s="138">
        <v>5</v>
      </c>
      <c r="H54" s="138">
        <v>1000</v>
      </c>
      <c r="I54" s="143">
        <v>10</v>
      </c>
      <c r="J54" s="141">
        <v>1</v>
      </c>
      <c r="K54" s="137" t="s">
        <v>470</v>
      </c>
      <c r="L54" s="139">
        <v>5</v>
      </c>
      <c r="M54" s="142"/>
      <c r="N5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5">
        <f>IF(Operations[[#This Row],[Calc List Price]]=0,0,IF(Operations[[#This Row],[Units per Hour]]*Operations[[#This Row],[Annual Use]]=0,0,(Operations[[#This Row],[Calc Beg Yr. Value]]-Operations[[#This Row],[Calc End Yr. Value]])/(Operations[[#This Row],[Annual Use]])))</f>
        <v>1.6936423953123341</v>
      </c>
      <c r="S54" s="116">
        <f>IF(Operations[[#This Row],[Annual Use]]=0,0,Operations[[#This Row],[Calc Beg Yr. Value]]*'General Variables'!$B$9/Operations[[#This Row],[Annual Use]])</f>
        <v>0.47396683251531746</v>
      </c>
      <c r="T54" s="116">
        <f>IF(Operations[[#This Row],[Annual Use]]=0,0,Operations[[#This Row],[Calc Beg Yr. Value]]*'General Variables'!$B$10/Operations[[#This Row],[Annual Use]])</f>
        <v>0.94793366503063492</v>
      </c>
      <c r="U54" s="116">
        <f>SUM(Operations[[#This Row],[Depreciation per Unit]:[Opportunity Cost per Unit]])</f>
        <v>3.1155428928582865</v>
      </c>
    </row>
    <row r="55" spans="1:21" ht="12.75" customHeight="1" x14ac:dyDescent="0.2">
      <c r="A55" s="135" t="s">
        <v>316</v>
      </c>
      <c r="B55" s="136" t="s">
        <v>71</v>
      </c>
      <c r="C55" s="137" t="s">
        <v>344</v>
      </c>
      <c r="D55" s="137" t="s">
        <v>356</v>
      </c>
      <c r="E55" s="138">
        <v>29000</v>
      </c>
      <c r="F55" s="139"/>
      <c r="G55" s="138">
        <v>5</v>
      </c>
      <c r="H55" s="138">
        <v>1000</v>
      </c>
      <c r="I55" s="145">
        <v>11</v>
      </c>
      <c r="J55" s="141">
        <v>1.1000000000000001</v>
      </c>
      <c r="K55" s="137" t="s">
        <v>470</v>
      </c>
      <c r="L55" s="139">
        <v>3.5</v>
      </c>
      <c r="M55" s="142"/>
      <c r="N5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5">
        <f>IF(Operations[[#This Row],[Calc List Price]]=0,0,IF(Operations[[#This Row],[Units per Hour]]*Operations[[#This Row],[Annual Use]]=0,0,(Operations[[#This Row],[Calc Beg Yr. Value]]-Operations[[#This Row],[Calc End Yr. Value]])/(Operations[[#This Row],[Annual Use]])))</f>
        <v>0.86231309849464011</v>
      </c>
      <c r="S55" s="116">
        <f>IF(Operations[[#This Row],[Annual Use]]=0,0,Operations[[#This Row],[Calc Beg Yr. Value]]*'General Variables'!$B$9/Operations[[#This Row],[Annual Use]])</f>
        <v>0.24131883392928485</v>
      </c>
      <c r="T55" s="116">
        <f>IF(Operations[[#This Row],[Annual Use]]=0,0,Operations[[#This Row],[Calc Beg Yr. Value]]*'General Variables'!$B$10/Operations[[#This Row],[Annual Use]])</f>
        <v>0.48263766785856971</v>
      </c>
      <c r="U55" s="116">
        <f>SUM(Operations[[#This Row],[Depreciation per Unit]:[Opportunity Cost per Unit]])</f>
        <v>1.5862696002824948</v>
      </c>
    </row>
    <row r="56" spans="1:21" ht="12.75" customHeight="1" x14ac:dyDescent="0.2">
      <c r="A56" s="135" t="s">
        <v>317</v>
      </c>
      <c r="B56" s="136" t="s">
        <v>71</v>
      </c>
      <c r="C56" s="136" t="s">
        <v>341</v>
      </c>
      <c r="D56" s="136" t="s">
        <v>358</v>
      </c>
      <c r="E56" s="147">
        <v>62545</v>
      </c>
      <c r="F56" s="139"/>
      <c r="G56" s="138">
        <v>5</v>
      </c>
      <c r="H56" s="138">
        <v>1000</v>
      </c>
      <c r="I56" s="143">
        <v>8</v>
      </c>
      <c r="J56" s="141">
        <v>1.2</v>
      </c>
      <c r="K56" s="137" t="s">
        <v>470</v>
      </c>
      <c r="L56" s="139">
        <v>4.2936802973977706</v>
      </c>
      <c r="M56" s="142"/>
      <c r="N5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5">
        <f>IF(Operations[[#This Row],[Calc List Price]]=0,0,IF(Operations[[#This Row],[Units per Hour]]*Operations[[#This Row],[Annual Use]]=0,0,(Operations[[#This Row],[Calc Beg Yr. Value]]-Operations[[#This Row],[Calc End Yr. Value]])/(Operations[[#This Row],[Annual Use]])))</f>
        <v>1.458200481725602</v>
      </c>
      <c r="S56" s="116">
        <f>IF(Operations[[#This Row],[Annual Use]]=0,0,Operations[[#This Row],[Calc Beg Yr. Value]]*'General Variables'!$B$9/Operations[[#This Row],[Annual Use]])</f>
        <v>0.62807077089161056</v>
      </c>
      <c r="T56" s="116">
        <f>IF(Operations[[#This Row],[Annual Use]]=0,0,Operations[[#This Row],[Calc Beg Yr. Value]]*'General Variables'!$B$10/Operations[[#This Row],[Annual Use]])</f>
        <v>1.2561415417832211</v>
      </c>
      <c r="U56" s="116">
        <f>SUM(Operations[[#This Row],[Depreciation per Unit]:[Opportunity Cost per Unit]])</f>
        <v>3.3424127944004338</v>
      </c>
    </row>
    <row r="57" spans="1:21" ht="12.75" hidden="1" customHeight="1" x14ac:dyDescent="0.2">
      <c r="A57" s="135" t="s">
        <v>56</v>
      </c>
      <c r="B57" s="136" t="s">
        <v>71</v>
      </c>
      <c r="C57" s="137" t="s">
        <v>353</v>
      </c>
      <c r="D57" s="137" t="s">
        <v>357</v>
      </c>
      <c r="E57" s="138">
        <v>35000</v>
      </c>
      <c r="F57" s="139"/>
      <c r="G57" s="138">
        <v>5</v>
      </c>
      <c r="H57" s="138">
        <v>2500</v>
      </c>
      <c r="I57" s="145">
        <v>25</v>
      </c>
      <c r="J57" s="141">
        <v>1.25</v>
      </c>
      <c r="K57" s="137" t="s">
        <v>470</v>
      </c>
      <c r="L57" s="139">
        <v>2.64</v>
      </c>
      <c r="M57" s="142"/>
      <c r="N5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5">
        <f>IF(Operations[[#This Row],[Calc List Price]]=0,0,IF(Operations[[#This Row],[Units per Hour]]*Operations[[#This Row],[Annual Use]]=0,0,(Operations[[#This Row],[Calc Beg Yr. Value]]-Operations[[#This Row],[Calc End Yr. Value]])/(Operations[[#This Row],[Annual Use]])))</f>
        <v>0.45301190025022514</v>
      </c>
      <c r="S57" s="116">
        <f>IF(Operations[[#This Row],[Annual Use]]=0,0,Operations[[#This Row],[Calc Beg Yr. Value]]*'General Variables'!$B$9/Operations[[#This Row],[Annual Use]])</f>
        <v>0.13516779169105209</v>
      </c>
      <c r="T57" s="116">
        <f>IF(Operations[[#This Row],[Annual Use]]=0,0,Operations[[#This Row],[Calc Beg Yr. Value]]*'General Variables'!$B$10/Operations[[#This Row],[Annual Use]])</f>
        <v>0.27033558338210417</v>
      </c>
      <c r="U57" s="116">
        <f>SUM(Operations[[#This Row],[Depreciation per Unit]:[Opportunity Cost per Unit]])</f>
        <v>0.85851527532338134</v>
      </c>
    </row>
    <row r="58" spans="1:21" ht="12.75" hidden="1" customHeight="1" x14ac:dyDescent="0.2">
      <c r="A58" s="135" t="s">
        <v>552</v>
      </c>
      <c r="B58" s="136" t="s">
        <v>71</v>
      </c>
      <c r="C58" s="137" t="s">
        <v>339</v>
      </c>
      <c r="D58" s="137" t="s">
        <v>356</v>
      </c>
      <c r="E58" s="138">
        <v>41688</v>
      </c>
      <c r="F58" s="139"/>
      <c r="G58" s="138">
        <v>5</v>
      </c>
      <c r="H58" s="138">
        <v>2000</v>
      </c>
      <c r="I58" s="143">
        <v>11</v>
      </c>
      <c r="J58" s="141">
        <v>1.3</v>
      </c>
      <c r="K58" s="137" t="s">
        <v>470</v>
      </c>
      <c r="L58" s="139">
        <v>8.2899999999999991</v>
      </c>
      <c r="M58" s="142"/>
      <c r="N5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5">
        <f>IF(Operations[[#This Row],[Calc List Price]]=0,0,IF(Operations[[#This Row],[Units per Hour]]*Operations[[#This Row],[Annual Use]]=0,0,(Operations[[#This Row],[Calc Beg Yr. Value]]-Operations[[#This Row],[Calc End Yr. Value]])/(Operations[[#This Row],[Annual Use]])))</f>
        <v>0.61979497327663013</v>
      </c>
      <c r="S58" s="116">
        <f>IF(Operations[[#This Row],[Annual Use]]=0,0,Operations[[#This Row],[Calc Beg Yr. Value]]*'General Variables'!$B$9/Operations[[#This Row],[Annual Use]])</f>
        <v>0.17344999222144875</v>
      </c>
      <c r="T58" s="116">
        <f>IF(Operations[[#This Row],[Annual Use]]=0,0,Operations[[#This Row],[Calc Beg Yr. Value]]*'General Variables'!$B$10/Operations[[#This Row],[Annual Use]])</f>
        <v>0.34689998444289749</v>
      </c>
      <c r="U58" s="116">
        <f>SUM(Operations[[#This Row],[Depreciation per Unit]:[Opportunity Cost per Unit]])</f>
        <v>1.1401449499409764</v>
      </c>
    </row>
    <row r="59" spans="1:21" ht="12.75" hidden="1" customHeight="1" x14ac:dyDescent="0.2">
      <c r="A59" s="135" t="s">
        <v>551</v>
      </c>
      <c r="B59" s="136" t="s">
        <v>71</v>
      </c>
      <c r="C59" s="137" t="s">
        <v>338</v>
      </c>
      <c r="D59" s="137" t="s">
        <v>356</v>
      </c>
      <c r="E59" s="138">
        <v>58958</v>
      </c>
      <c r="F59" s="139"/>
      <c r="G59" s="138">
        <v>5</v>
      </c>
      <c r="H59" s="144">
        <v>2000</v>
      </c>
      <c r="I59" s="143">
        <v>15</v>
      </c>
      <c r="J59" s="141">
        <v>1.3</v>
      </c>
      <c r="K59" s="137" t="s">
        <v>470</v>
      </c>
      <c r="L59" s="139">
        <v>8.1999999999999993</v>
      </c>
      <c r="M59" s="142"/>
      <c r="N5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5">
        <f>IF(Operations[[#This Row],[Calc List Price]]=0,0,IF(Operations[[#This Row],[Units per Hour]]*Operations[[#This Row],[Annual Use]]=0,0,(Operations[[#This Row],[Calc Beg Yr. Value]]-Operations[[#This Row],[Calc End Yr. Value]])/(Operations[[#This Row],[Annual Use]])))</f>
        <v>0.87655613208701832</v>
      </c>
      <c r="S59" s="116">
        <f>IF(Operations[[#This Row],[Annual Use]]=0,0,Operations[[#This Row],[Calc Beg Yr. Value]]*'General Variables'!$B$9/Operations[[#This Row],[Annual Use]])</f>
        <v>0.24530475535866855</v>
      </c>
      <c r="T59" s="116">
        <f>IF(Operations[[#This Row],[Annual Use]]=0,0,Operations[[#This Row],[Calc Beg Yr. Value]]*'General Variables'!$B$10/Operations[[#This Row],[Annual Use]])</f>
        <v>0.49060951071733711</v>
      </c>
      <c r="U59" s="116">
        <f>SUM(Operations[[#This Row],[Depreciation per Unit]:[Opportunity Cost per Unit]])</f>
        <v>1.612470398163024</v>
      </c>
    </row>
    <row r="60" spans="1:21" ht="12.75" hidden="1" customHeight="1" x14ac:dyDescent="0.2">
      <c r="A60" s="135" t="s">
        <v>553</v>
      </c>
      <c r="B60" s="136" t="s">
        <v>71</v>
      </c>
      <c r="C60" s="137" t="s">
        <v>353</v>
      </c>
      <c r="D60" s="137" t="s">
        <v>357</v>
      </c>
      <c r="E60" s="138">
        <v>35000</v>
      </c>
      <c r="F60" s="139"/>
      <c r="G60" s="138">
        <v>5</v>
      </c>
      <c r="H60" s="138">
        <v>2500</v>
      </c>
      <c r="I60" s="145">
        <v>25</v>
      </c>
      <c r="J60" s="141">
        <v>1.25</v>
      </c>
      <c r="K60" s="137" t="s">
        <v>470</v>
      </c>
      <c r="L60" s="139">
        <v>2.64</v>
      </c>
      <c r="M60" s="142"/>
      <c r="N6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5">
        <f>IF(Operations[[#This Row],[Calc List Price]]=0,0,IF(Operations[[#This Row],[Units per Hour]]*Operations[[#This Row],[Annual Use]]=0,0,(Operations[[#This Row],[Calc Beg Yr. Value]]-Operations[[#This Row],[Calc End Yr. Value]])/(Operations[[#This Row],[Annual Use]])))</f>
        <v>0.45301190025022514</v>
      </c>
      <c r="S60" s="116">
        <f>IF(Operations[[#This Row],[Annual Use]]=0,0,Operations[[#This Row],[Calc Beg Yr. Value]]*'General Variables'!$B$9/Operations[[#This Row],[Annual Use]])</f>
        <v>0.13516779169105209</v>
      </c>
      <c r="T60" s="116">
        <f>IF(Operations[[#This Row],[Annual Use]]=0,0,Operations[[#This Row],[Calc Beg Yr. Value]]*'General Variables'!$B$10/Operations[[#This Row],[Annual Use]])</f>
        <v>0.27033558338210417</v>
      </c>
      <c r="U60" s="116">
        <f>SUM(Operations[[#This Row],[Depreciation per Unit]:[Opportunity Cost per Unit]])</f>
        <v>0.85851527532338134</v>
      </c>
    </row>
    <row r="61" spans="1:21" ht="12.75" hidden="1" customHeight="1" x14ac:dyDescent="0.2">
      <c r="A61" s="135" t="s">
        <v>566</v>
      </c>
      <c r="B61" s="136" t="s">
        <v>71</v>
      </c>
      <c r="C61" s="137" t="s">
        <v>354</v>
      </c>
      <c r="D61" s="137" t="s">
        <v>357</v>
      </c>
      <c r="E61" s="138">
        <v>35000</v>
      </c>
      <c r="F61" s="139"/>
      <c r="G61" s="138">
        <v>5</v>
      </c>
      <c r="H61" s="138">
        <v>1000</v>
      </c>
      <c r="I61" s="143">
        <v>25</v>
      </c>
      <c r="J61" s="141">
        <v>1.25</v>
      </c>
      <c r="K61" s="137" t="s">
        <v>470</v>
      </c>
      <c r="L61" s="139">
        <v>2.64</v>
      </c>
      <c r="M61" s="142"/>
      <c r="N6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5">
        <f>IF(Operations[[#This Row],[Calc List Price]]=0,0,IF(Operations[[#This Row],[Units per Hour]]*Operations[[#This Row],[Annual Use]]=0,0,(Operations[[#This Row],[Calc Beg Yr. Value]]-Operations[[#This Row],[Calc End Yr. Value]])/(Operations[[#This Row],[Annual Use]])))</f>
        <v>1.1325297506255629</v>
      </c>
      <c r="S61" s="116">
        <f>IF(Operations[[#This Row],[Annual Use]]=0,0,Operations[[#This Row],[Calc Beg Yr. Value]]*'General Variables'!$B$9/Operations[[#This Row],[Annual Use]])</f>
        <v>0.33791947922763022</v>
      </c>
      <c r="T61" s="116">
        <f>IF(Operations[[#This Row],[Annual Use]]=0,0,Operations[[#This Row],[Calc Beg Yr. Value]]*'General Variables'!$B$10/Operations[[#This Row],[Annual Use]])</f>
        <v>0.67583895845526043</v>
      </c>
      <c r="U61" s="116">
        <f>SUM(Operations[[#This Row],[Depreciation per Unit]:[Opportunity Cost per Unit]])</f>
        <v>2.1462881883084535</v>
      </c>
    </row>
    <row r="62" spans="1:21" ht="12.75" hidden="1" customHeight="1" x14ac:dyDescent="0.2">
      <c r="A62" s="135" t="s">
        <v>564</v>
      </c>
      <c r="B62" s="136" t="s">
        <v>71</v>
      </c>
      <c r="C62" s="137" t="s">
        <v>354</v>
      </c>
      <c r="D62" s="137" t="s">
        <v>357</v>
      </c>
      <c r="E62" s="138">
        <v>35000</v>
      </c>
      <c r="F62" s="139"/>
      <c r="G62" s="138">
        <v>5</v>
      </c>
      <c r="H62" s="138">
        <v>1000</v>
      </c>
      <c r="I62" s="143">
        <v>25</v>
      </c>
      <c r="J62" s="141">
        <v>1.25</v>
      </c>
      <c r="K62" s="137" t="s">
        <v>470</v>
      </c>
      <c r="L62" s="139">
        <v>2.64</v>
      </c>
      <c r="M62" s="142"/>
      <c r="N6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5">
        <f>IF(Operations[[#This Row],[Calc List Price]]=0,0,IF(Operations[[#This Row],[Units per Hour]]*Operations[[#This Row],[Annual Use]]=0,0,(Operations[[#This Row],[Calc Beg Yr. Value]]-Operations[[#This Row],[Calc End Yr. Value]])/(Operations[[#This Row],[Annual Use]])))</f>
        <v>1.1325297506255629</v>
      </c>
      <c r="S62" s="116">
        <f>IF(Operations[[#This Row],[Annual Use]]=0,0,Operations[[#This Row],[Calc Beg Yr. Value]]*'General Variables'!$B$9/Operations[[#This Row],[Annual Use]])</f>
        <v>0.33791947922763022</v>
      </c>
      <c r="T62" s="116">
        <f>IF(Operations[[#This Row],[Annual Use]]=0,0,Operations[[#This Row],[Calc Beg Yr. Value]]*'General Variables'!$B$10/Operations[[#This Row],[Annual Use]])</f>
        <v>0.67583895845526043</v>
      </c>
      <c r="U62" s="116">
        <f>SUM(Operations[[#This Row],[Depreciation per Unit]:[Opportunity Cost per Unit]])</f>
        <v>2.1462881883084535</v>
      </c>
    </row>
    <row r="63" spans="1:21" ht="12.75" hidden="1" customHeight="1" x14ac:dyDescent="0.2">
      <c r="A63" s="135" t="s">
        <v>319</v>
      </c>
      <c r="B63" s="136" t="s">
        <v>3</v>
      </c>
      <c r="C63" s="136"/>
      <c r="D63" s="136"/>
      <c r="E63" s="138"/>
      <c r="F63" s="139"/>
      <c r="G63" s="138"/>
      <c r="H63" s="138"/>
      <c r="I63" s="143"/>
      <c r="J63" s="141"/>
      <c r="K63" s="137"/>
      <c r="L63" s="139" t="s">
        <v>397</v>
      </c>
      <c r="M63" s="142"/>
      <c r="N6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5">
        <f>IF(Operations[[#This Row],[Calc List Price]]=0,0,IF(Operations[[#This Row],[Units per Hour]]*Operations[[#This Row],[Annual Use]]=0,0,(Operations[[#This Row],[Calc Beg Yr. Value]]-Operations[[#This Row],[Calc End Yr. Value]])/(Operations[[#This Row],[Annual Use]])))</f>
        <v>0</v>
      </c>
      <c r="S63" s="116">
        <f>IF(Operations[[#This Row],[Annual Use]]=0,0,Operations[[#This Row],[Calc Beg Yr. Value]]*'General Variables'!$B$9/Operations[[#This Row],[Annual Use]])</f>
        <v>0</v>
      </c>
      <c r="T63" s="116">
        <f>IF(Operations[[#This Row],[Annual Use]]=0,0,Operations[[#This Row],[Calc Beg Yr. Value]]*'General Variables'!$B$10/Operations[[#This Row],[Annual Use]])</f>
        <v>0</v>
      </c>
      <c r="U63" s="116">
        <f>SUM(Operations[[#This Row],[Depreciation per Unit]:[Opportunity Cost per Unit]])</f>
        <v>0</v>
      </c>
    </row>
    <row r="64" spans="1:21" ht="12.75" hidden="1" customHeight="1" x14ac:dyDescent="0.2">
      <c r="A64" s="135" t="s">
        <v>320</v>
      </c>
      <c r="B64" s="136" t="s">
        <v>71</v>
      </c>
      <c r="C64" s="136"/>
      <c r="D64" s="136"/>
      <c r="E64" s="138"/>
      <c r="F64" s="150"/>
      <c r="G64" s="138">
        <v>5</v>
      </c>
      <c r="H64" s="138">
        <v>1000</v>
      </c>
      <c r="I64" s="145">
        <v>12.7</v>
      </c>
      <c r="J64" s="141">
        <v>1</v>
      </c>
      <c r="K64" s="137" t="s">
        <v>470</v>
      </c>
      <c r="L64" s="139">
        <v>3.8617021276595755</v>
      </c>
      <c r="M64" s="142"/>
      <c r="N6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5">
        <f>IF(Operations[[#This Row],[Calc List Price]]=0,0,IF(Operations[[#This Row],[Units per Hour]]*Operations[[#This Row],[Annual Use]]=0,0,(Operations[[#This Row],[Calc Beg Yr. Value]]-Operations[[#This Row],[Calc End Yr. Value]])/(Operations[[#This Row],[Annual Use]])))</f>
        <v>0</v>
      </c>
      <c r="S64" s="116">
        <f>IF(Operations[[#This Row],[Annual Use]]=0,0,Operations[[#This Row],[Calc Beg Yr. Value]]*'General Variables'!$B$9/Operations[[#This Row],[Annual Use]])</f>
        <v>0</v>
      </c>
      <c r="T64" s="116">
        <f>IF(Operations[[#This Row],[Annual Use]]=0,0,Operations[[#This Row],[Calc Beg Yr. Value]]*'General Variables'!$B$10/Operations[[#This Row],[Annual Use]])</f>
        <v>0</v>
      </c>
      <c r="U64" s="116">
        <f>SUM(Operations[[#This Row],[Depreciation per Unit]:[Opportunity Cost per Unit]])</f>
        <v>0</v>
      </c>
    </row>
    <row r="65" spans="1:21" ht="12.75" customHeight="1" x14ac:dyDescent="0.2">
      <c r="A65" s="135" t="s">
        <v>318</v>
      </c>
      <c r="B65" s="136" t="s">
        <v>65</v>
      </c>
      <c r="C65" s="137" t="s">
        <v>352</v>
      </c>
      <c r="D65" s="137" t="s">
        <v>359</v>
      </c>
      <c r="E65" s="138">
        <v>23371</v>
      </c>
      <c r="F65" s="139"/>
      <c r="G65" s="138">
        <v>5</v>
      </c>
      <c r="H65" s="138">
        <v>1250</v>
      </c>
      <c r="I65" s="145">
        <v>4</v>
      </c>
      <c r="J65" s="141">
        <v>1.1000000000000001</v>
      </c>
      <c r="K65" s="137" t="s">
        <v>470</v>
      </c>
      <c r="L65" s="139">
        <v>3.5</v>
      </c>
      <c r="M65" s="142"/>
      <c r="N6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5">
        <f>IF(Operations[[#This Row],[Calc List Price]]=0,0,IF(Operations[[#This Row],[Units per Hour]]*Operations[[#This Row],[Annual Use]]=0,0,(Operations[[#This Row],[Calc Beg Yr. Value]]-Operations[[#This Row],[Calc End Yr. Value]])/(Operations[[#This Row],[Annual Use]])))</f>
        <v>0.49602123334023634</v>
      </c>
      <c r="S65" s="116">
        <f>IF(Operations[[#This Row],[Annual Use]]=0,0,Operations[[#This Row],[Calc Beg Yr. Value]]*'General Variables'!$B$9/Operations[[#This Row],[Annual Use]])</f>
        <v>0.14661011838690544</v>
      </c>
      <c r="T65" s="116">
        <f>IF(Operations[[#This Row],[Annual Use]]=0,0,Operations[[#This Row],[Calc Beg Yr. Value]]*'General Variables'!$B$10/Operations[[#This Row],[Annual Use]])</f>
        <v>0.29322023677381087</v>
      </c>
      <c r="U65" s="116">
        <f>SUM(Operations[[#This Row],[Depreciation per Unit]:[Opportunity Cost per Unit]])</f>
        <v>0.93585158850095262</v>
      </c>
    </row>
    <row r="66" spans="1:21" ht="12.75" customHeight="1" x14ac:dyDescent="0.2">
      <c r="A66" s="135" t="s">
        <v>321</v>
      </c>
      <c r="B66" s="136" t="s">
        <v>64</v>
      </c>
      <c r="C66" s="137" t="s">
        <v>516</v>
      </c>
      <c r="D66" s="137" t="s">
        <v>331</v>
      </c>
      <c r="E66" s="138">
        <v>13000</v>
      </c>
      <c r="F66" s="139"/>
      <c r="G66" s="138">
        <v>5</v>
      </c>
      <c r="H66" s="138">
        <v>1250</v>
      </c>
      <c r="I66" s="145">
        <v>10</v>
      </c>
      <c r="J66" s="141">
        <v>1</v>
      </c>
      <c r="K66" s="137" t="s">
        <v>470</v>
      </c>
      <c r="L66" s="139">
        <v>2</v>
      </c>
      <c r="M66" s="142"/>
      <c r="N6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5">
        <f>IF(Operations[[#This Row],[Calc List Price]]=0,0,IF(Operations[[#This Row],[Units per Hour]]*Operations[[#This Row],[Annual Use]]=0,0,(Operations[[#This Row],[Calc Beg Yr. Value]]-Operations[[#This Row],[Calc End Yr. Value]])/(Operations[[#This Row],[Annual Use]])))</f>
        <v>0.23341369140676252</v>
      </c>
      <c r="S66" s="116">
        <f>IF(Operations[[#This Row],[Annual Use]]=0,0,Operations[[#This Row],[Calc Beg Yr. Value]]*'General Variables'!$B$9/Operations[[#This Row],[Annual Use]])</f>
        <v>7.1796853819220491E-2</v>
      </c>
      <c r="T66" s="116">
        <f>IF(Operations[[#This Row],[Annual Use]]=0,0,Operations[[#This Row],[Calc Beg Yr. Value]]*'General Variables'!$B$10/Operations[[#This Row],[Annual Use]])</f>
        <v>0.14359370763844098</v>
      </c>
      <c r="U66" s="116">
        <f>SUM(Operations[[#This Row],[Depreciation per Unit]:[Opportunity Cost per Unit]])</f>
        <v>0.44880425286442399</v>
      </c>
    </row>
    <row r="67" spans="1:21" ht="12.75" customHeight="1" x14ac:dyDescent="0.2">
      <c r="A67" s="135" t="s">
        <v>322</v>
      </c>
      <c r="B67" s="136" t="s">
        <v>71</v>
      </c>
      <c r="C67" s="137" t="s">
        <v>335</v>
      </c>
      <c r="D67" s="137" t="s">
        <v>356</v>
      </c>
      <c r="E67" s="138">
        <v>12000</v>
      </c>
      <c r="F67" s="139"/>
      <c r="G67" s="138">
        <v>5</v>
      </c>
      <c r="H67" s="138">
        <v>500</v>
      </c>
      <c r="I67" s="143">
        <v>9</v>
      </c>
      <c r="J67" s="141">
        <v>1</v>
      </c>
      <c r="K67" s="137" t="s">
        <v>469</v>
      </c>
      <c r="L67" s="139">
        <v>8.25</v>
      </c>
      <c r="M67" s="142"/>
      <c r="N6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5">
        <f>IF(Operations[[#This Row],[Calc List Price]]=0,0,IF(Operations[[#This Row],[Units per Hour]]*Operations[[#This Row],[Annual Use]]=0,0,(Operations[[#This Row],[Calc Beg Yr. Value]]-Operations[[#This Row],[Calc End Yr. Value]])/(Operations[[#This Row],[Annual Use]])))</f>
        <v>0.71363842634039243</v>
      </c>
      <c r="S67" s="116">
        <f>IF(Operations[[#This Row],[Annual Use]]=0,0,Operations[[#This Row],[Calc Beg Yr. Value]]*'General Variables'!$B$9/Operations[[#This Row],[Annual Use]])</f>
        <v>0.19971213842423574</v>
      </c>
      <c r="T67" s="116">
        <f>IF(Operations[[#This Row],[Annual Use]]=0,0,Operations[[#This Row],[Calc Beg Yr. Value]]*'General Variables'!$B$10/Operations[[#This Row],[Annual Use]])</f>
        <v>0.39942427684847148</v>
      </c>
      <c r="U67" s="116">
        <f>SUM(Operations[[#This Row],[Depreciation per Unit]:[Opportunity Cost per Unit]])</f>
        <v>1.3127748416130998</v>
      </c>
    </row>
    <row r="68" spans="1:21" ht="12.75" hidden="1" customHeight="1" x14ac:dyDescent="0.2">
      <c r="A68" s="135" t="s">
        <v>324</v>
      </c>
      <c r="B68" s="136" t="s">
        <v>71</v>
      </c>
      <c r="C68" s="137" t="s">
        <v>350</v>
      </c>
      <c r="D68" s="137" t="s">
        <v>358</v>
      </c>
      <c r="E68" s="148">
        <v>45000</v>
      </c>
      <c r="F68" s="139"/>
      <c r="G68" s="138">
        <v>5</v>
      </c>
      <c r="H68" s="138">
        <v>1000</v>
      </c>
      <c r="I68" s="143">
        <v>6</v>
      </c>
      <c r="J68" s="141">
        <v>1.1000000000000001</v>
      </c>
      <c r="K68" s="137" t="s">
        <v>469</v>
      </c>
      <c r="L68" s="139">
        <v>8.25</v>
      </c>
      <c r="M68" s="142"/>
      <c r="N6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5">
        <f>IF(Operations[[#This Row],[Calc List Price]]=0,0,IF(Operations[[#This Row],[Units per Hour]]*Operations[[#This Row],[Annual Use]]=0,0,(Operations[[#This Row],[Calc Beg Yr. Value]]-Operations[[#This Row],[Calc End Yr. Value]])/(Operations[[#This Row],[Annual Use]])))</f>
        <v>1.0491489595915264</v>
      </c>
      <c r="S68" s="116">
        <f>IF(Operations[[#This Row],[Annual Use]]=0,0,Operations[[#This Row],[Calc Beg Yr. Value]]*'General Variables'!$B$9/Operations[[#This Row],[Annual Use]])</f>
        <v>0.45188559741182305</v>
      </c>
      <c r="T68" s="116">
        <f>IF(Operations[[#This Row],[Annual Use]]=0,0,Operations[[#This Row],[Calc Beg Yr. Value]]*'General Variables'!$B$10/Operations[[#This Row],[Annual Use]])</f>
        <v>0.9037711948236461</v>
      </c>
      <c r="U68" s="116">
        <f>SUM(Operations[[#This Row],[Depreciation per Unit]:[Opportunity Cost per Unit]])</f>
        <v>2.4048057518269954</v>
      </c>
    </row>
    <row r="69" spans="1:21" ht="12.75" hidden="1" customHeight="1" x14ac:dyDescent="0.2">
      <c r="A69" s="135" t="s">
        <v>325</v>
      </c>
      <c r="B69" s="136" t="s">
        <v>71</v>
      </c>
      <c r="C69" s="137" t="s">
        <v>355</v>
      </c>
      <c r="D69" s="137" t="s">
        <v>331</v>
      </c>
      <c r="E69" s="138">
        <v>50000</v>
      </c>
      <c r="F69" s="150"/>
      <c r="G69" s="138">
        <v>5</v>
      </c>
      <c r="H69" s="138">
        <v>1000</v>
      </c>
      <c r="I69" s="143">
        <v>5.7894736842105274</v>
      </c>
      <c r="J69" s="141">
        <v>1</v>
      </c>
      <c r="K69" s="137" t="s">
        <v>470</v>
      </c>
      <c r="L69" s="139">
        <v>3.5</v>
      </c>
      <c r="M69" s="142"/>
      <c r="N6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5">
        <f>IF(Operations[[#This Row],[Calc List Price]]=0,0,IF(Operations[[#This Row],[Units per Hour]]*Operations[[#This Row],[Annual Use]]=0,0,(Operations[[#This Row],[Calc Beg Yr. Value]]-Operations[[#This Row],[Calc End Yr. Value]])/(Operations[[#This Row],[Annual Use]])))</f>
        <v>1.1221812086863592</v>
      </c>
      <c r="S69" s="116">
        <f>IF(Operations[[#This Row],[Annual Use]]=0,0,Operations[[#This Row],[Calc Beg Yr. Value]]*'General Variables'!$B$9/Operations[[#This Row],[Annual Use]])</f>
        <v>0.34517718182317542</v>
      </c>
      <c r="T69" s="116">
        <f>IF(Operations[[#This Row],[Annual Use]]=0,0,Operations[[#This Row],[Calc Beg Yr. Value]]*'General Variables'!$B$10/Operations[[#This Row],[Annual Use]])</f>
        <v>0.69035436364635083</v>
      </c>
      <c r="U69" s="116">
        <f>SUM(Operations[[#This Row],[Depreciation per Unit]:[Opportunity Cost per Unit]])</f>
        <v>2.1577127541558854</v>
      </c>
    </row>
    <row r="70" spans="1:21" ht="12.75" hidden="1" customHeight="1" x14ac:dyDescent="0.2">
      <c r="A70" s="135" t="s">
        <v>326</v>
      </c>
      <c r="B70" s="136" t="s">
        <v>3</v>
      </c>
      <c r="C70" s="136"/>
      <c r="D70" s="136"/>
      <c r="E70" s="138"/>
      <c r="F70" s="139"/>
      <c r="G70" s="138">
        <v>5</v>
      </c>
      <c r="H70" s="138"/>
      <c r="I70" s="143" t="s">
        <v>397</v>
      </c>
      <c r="J70" s="141"/>
      <c r="K70" s="137" t="s">
        <v>469</v>
      </c>
      <c r="L70" s="139" t="s">
        <v>397</v>
      </c>
      <c r="M70" s="142"/>
      <c r="N7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5">
        <f>IF(Operations[[#This Row],[Calc List Price]]=0,0,IF(Operations[[#This Row],[Units per Hour]]*Operations[[#This Row],[Annual Use]]=0,0,(Operations[[#This Row],[Calc Beg Yr. Value]]-Operations[[#This Row],[Calc End Yr. Value]])/(Operations[[#This Row],[Annual Use]])))</f>
        <v>0</v>
      </c>
      <c r="S70" s="116">
        <f>IF(Operations[[#This Row],[Annual Use]]=0,0,Operations[[#This Row],[Calc Beg Yr. Value]]*'General Variables'!$B$9/Operations[[#This Row],[Annual Use]])</f>
        <v>0</v>
      </c>
      <c r="T70" s="116">
        <f>IF(Operations[[#This Row],[Annual Use]]=0,0,Operations[[#This Row],[Calc Beg Yr. Value]]*'General Variables'!$B$10/Operations[[#This Row],[Annual Use]])</f>
        <v>0</v>
      </c>
      <c r="U70" s="116">
        <f>SUM(Operations[[#This Row],[Depreciation per Unit]:[Opportunity Cost per Unit]])</f>
        <v>0</v>
      </c>
    </row>
    <row r="71" spans="1:21" ht="12.75" hidden="1" customHeight="1" x14ac:dyDescent="0.2">
      <c r="A71" s="135" t="s">
        <v>327</v>
      </c>
      <c r="B71" s="136" t="s">
        <v>71</v>
      </c>
      <c r="C71" s="137" t="s">
        <v>340</v>
      </c>
      <c r="D71" s="137" t="s">
        <v>331</v>
      </c>
      <c r="E71" s="138">
        <v>7187</v>
      </c>
      <c r="F71" s="139"/>
      <c r="G71" s="138">
        <v>5</v>
      </c>
      <c r="H71" s="138">
        <v>1000</v>
      </c>
      <c r="I71" s="145">
        <v>12</v>
      </c>
      <c r="J71" s="141">
        <v>1</v>
      </c>
      <c r="K71" s="137" t="s">
        <v>470</v>
      </c>
      <c r="L71" s="139">
        <v>2.0971962616822433</v>
      </c>
      <c r="M71" s="142"/>
      <c r="N7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5">
        <f>IF(Operations[[#This Row],[Calc List Price]]=0,0,IF(Operations[[#This Row],[Units per Hour]]*Operations[[#This Row],[Annual Use]]=0,0,(Operations[[#This Row],[Calc Beg Yr. Value]]-Operations[[#This Row],[Calc End Yr. Value]])/(Operations[[#This Row],[Annual Use]])))</f>
        <v>0.16130232693657762</v>
      </c>
      <c r="S71" s="116">
        <f>IF(Operations[[#This Row],[Annual Use]]=0,0,Operations[[#This Row],[Calc Beg Yr. Value]]*'General Variables'!$B$9/Operations[[#This Row],[Annual Use]])</f>
        <v>4.9615768115263234E-2</v>
      </c>
      <c r="T71" s="116">
        <f>IF(Operations[[#This Row],[Annual Use]]=0,0,Operations[[#This Row],[Calc Beg Yr. Value]]*'General Variables'!$B$10/Operations[[#This Row],[Annual Use]])</f>
        <v>9.9231536230526468E-2</v>
      </c>
      <c r="U71" s="116">
        <f>SUM(Operations[[#This Row],[Depreciation per Unit]:[Opportunity Cost per Unit]])</f>
        <v>0.31014963128236728</v>
      </c>
    </row>
    <row r="72" spans="1:21" ht="12.75" customHeight="1" x14ac:dyDescent="0.2">
      <c r="A72" s="135" t="s">
        <v>323</v>
      </c>
      <c r="B72" s="136" t="s">
        <v>71</v>
      </c>
      <c r="C72" s="137" t="s">
        <v>580</v>
      </c>
      <c r="D72" s="137" t="s">
        <v>331</v>
      </c>
      <c r="E72" s="138">
        <v>10000</v>
      </c>
      <c r="F72" s="139"/>
      <c r="G72" s="138">
        <v>5</v>
      </c>
      <c r="H72" s="138">
        <v>1000</v>
      </c>
      <c r="I72" s="145">
        <v>8</v>
      </c>
      <c r="J72" s="141">
        <v>1</v>
      </c>
      <c r="K72" s="137" t="s">
        <v>330</v>
      </c>
      <c r="L72" s="139">
        <v>5</v>
      </c>
      <c r="M72" s="142"/>
      <c r="N7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5">
        <f>IF(Operations[[#This Row],[Calc List Price]]=0,0,IF(Operations[[#This Row],[Units per Hour]]*Operations[[#This Row],[Annual Use]]=0,0,(Operations[[#This Row],[Calc Beg Yr. Value]]-Operations[[#This Row],[Calc End Yr. Value]])/(Operations[[#This Row],[Annual Use]])))</f>
        <v>0.22443624173727175</v>
      </c>
      <c r="S72" s="116">
        <f>IF(Operations[[#This Row],[Annual Use]]=0,0,Operations[[#This Row],[Calc Beg Yr. Value]]*'General Variables'!$B$9/Operations[[#This Row],[Annual Use]])</f>
        <v>6.9035436364635078E-2</v>
      </c>
      <c r="T72" s="116">
        <f>IF(Operations[[#This Row],[Annual Use]]=0,0,Operations[[#This Row],[Calc Beg Yr. Value]]*'General Variables'!$B$10/Operations[[#This Row],[Annual Use]])</f>
        <v>0.13807087272927016</v>
      </c>
      <c r="U72" s="116">
        <f>SUM(Operations[[#This Row],[Depreciation per Unit]:[Opportunity Cost per Unit]])</f>
        <v>0.43154255083117699</v>
      </c>
    </row>
    <row r="73" spans="1:21" ht="12.75" customHeight="1" x14ac:dyDescent="0.2">
      <c r="A73" s="152" t="s">
        <v>328</v>
      </c>
      <c r="B73" s="153" t="s">
        <v>71</v>
      </c>
      <c r="C73" s="154" t="s">
        <v>580</v>
      </c>
      <c r="D73" s="154" t="s">
        <v>331</v>
      </c>
      <c r="E73" s="138">
        <v>10000</v>
      </c>
      <c r="F73" s="139"/>
      <c r="G73" s="138">
        <v>5</v>
      </c>
      <c r="H73" s="138">
        <v>500</v>
      </c>
      <c r="I73" s="143">
        <v>10</v>
      </c>
      <c r="J73" s="141">
        <v>1</v>
      </c>
      <c r="K73" s="154" t="s">
        <v>330</v>
      </c>
      <c r="L73" s="139">
        <v>5</v>
      </c>
      <c r="M73" s="142"/>
      <c r="N7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5">
        <f>IF(Operations[[#This Row],[Calc List Price]]=0,0,IF(Operations[[#This Row],[Units per Hour]]*Operations[[#This Row],[Annual Use]]=0,0,(Operations[[#This Row],[Calc Beg Yr. Value]]-Operations[[#This Row],[Calc End Yr. Value]])/(Operations[[#This Row],[Annual Use]])))</f>
        <v>0.4488724834745435</v>
      </c>
      <c r="S73" s="116">
        <f>IF(Operations[[#This Row],[Annual Use]]=0,0,Operations[[#This Row],[Calc Beg Yr. Value]]*'General Variables'!$B$9/Operations[[#This Row],[Annual Use]])</f>
        <v>0.13807087272927016</v>
      </c>
      <c r="T73" s="116">
        <f>IF(Operations[[#This Row],[Annual Use]]=0,0,Operations[[#This Row],[Calc Beg Yr. Value]]*'General Variables'!$B$10/Operations[[#This Row],[Annual Use]])</f>
        <v>0.27614174545854031</v>
      </c>
      <c r="U73" s="116">
        <f>SUM(Operations[[#This Row],[Depreciation per Unit]:[Opportunity Cost per Unit]])</f>
        <v>0.86308510166235397</v>
      </c>
    </row>
    <row r="74" spans="1:21" ht="12.75" customHeight="1" x14ac:dyDescent="0.2">
      <c r="A74" s="152"/>
      <c r="B74" s="153"/>
      <c r="C74" s="154"/>
      <c r="D74" s="154"/>
      <c r="E74" s="138"/>
      <c r="F74" s="139"/>
      <c r="G74" s="138"/>
      <c r="H74" s="138"/>
      <c r="I74" s="140"/>
      <c r="J74" s="141"/>
      <c r="K74" s="154"/>
      <c r="L74" s="139"/>
      <c r="M74" s="142"/>
      <c r="N7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5">
        <f>IF(Operations[[#This Row],[Calc List Price]]=0,0,IF(Operations[[#This Row],[Units per Hour]]*Operations[[#This Row],[Annual Use]]=0,0,(Operations[[#This Row],[Calc Beg Yr. Value]]-Operations[[#This Row],[Calc End Yr. Value]])/(Operations[[#This Row],[Annual Use]])))</f>
        <v>0</v>
      </c>
      <c r="S74" s="116">
        <f>IF(Operations[[#This Row],[Annual Use]]=0,0,Operations[[#This Row],[Calc Beg Yr. Value]]*'General Variables'!$B$9/Operations[[#This Row],[Annual Use]])</f>
        <v>0</v>
      </c>
      <c r="T74" s="116">
        <f>IF(Operations[[#This Row],[Annual Use]]=0,0,Operations[[#This Row],[Calc Beg Yr. Value]]*'General Variables'!$B$10/Operations[[#This Row],[Annual Use]])</f>
        <v>0</v>
      </c>
      <c r="U74" s="116">
        <f>SUM(Operations[[#This Row],[Depreciation per Unit]:[Opportunity Cost per Unit]])</f>
        <v>0</v>
      </c>
    </row>
    <row r="75" spans="1:21" ht="12.75" customHeight="1" x14ac:dyDescent="0.2">
      <c r="A75" s="152"/>
      <c r="B75" s="153"/>
      <c r="C75" s="154"/>
      <c r="D75" s="154"/>
      <c r="E75" s="138"/>
      <c r="F75" s="139"/>
      <c r="G75" s="138"/>
      <c r="H75" s="138"/>
      <c r="I75" s="140"/>
      <c r="J75" s="141"/>
      <c r="K75" s="154"/>
      <c r="L75" s="139"/>
      <c r="M75" s="142"/>
      <c r="N7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5">
        <f>IF(Operations[[#This Row],[Calc List Price]]=0,0,IF(Operations[[#This Row],[Units per Hour]]*Operations[[#This Row],[Annual Use]]=0,0,(Operations[[#This Row],[Calc Beg Yr. Value]]-Operations[[#This Row],[Calc End Yr. Value]])/(Operations[[#This Row],[Annual Use]])))</f>
        <v>0</v>
      </c>
      <c r="S75" s="116">
        <f>IF(Operations[[#This Row],[Annual Use]]=0,0,Operations[[#This Row],[Calc Beg Yr. Value]]*'General Variables'!$B$9/Operations[[#This Row],[Annual Use]])</f>
        <v>0</v>
      </c>
      <c r="T75" s="116">
        <f>IF(Operations[[#This Row],[Annual Use]]=0,0,Operations[[#This Row],[Calc Beg Yr. Value]]*'General Variables'!$B$10/Operations[[#This Row],[Annual Use]])</f>
        <v>0</v>
      </c>
      <c r="U75" s="116">
        <f>SUM(Operations[[#This Row],[Depreciation per Unit]:[Opportunity Cost per Unit]])</f>
        <v>0</v>
      </c>
    </row>
    <row r="76" spans="1:21" ht="12.75" customHeight="1" x14ac:dyDescent="0.2">
      <c r="A76" s="152"/>
      <c r="B76" s="153"/>
      <c r="C76" s="154"/>
      <c r="D76" s="154"/>
      <c r="E76" s="138"/>
      <c r="F76" s="139"/>
      <c r="G76" s="138"/>
      <c r="H76" s="138"/>
      <c r="I76" s="140"/>
      <c r="J76" s="141"/>
      <c r="K76" s="154"/>
      <c r="L76" s="139"/>
      <c r="M76" s="142"/>
      <c r="N7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5">
        <f>IF(Operations[[#This Row],[Calc List Price]]=0,0,IF(Operations[[#This Row],[Units per Hour]]*Operations[[#This Row],[Annual Use]]=0,0,(Operations[[#This Row],[Calc Beg Yr. Value]]-Operations[[#This Row],[Calc End Yr. Value]])/(Operations[[#This Row],[Annual Use]])))</f>
        <v>0</v>
      </c>
      <c r="S76" s="116">
        <f>IF(Operations[[#This Row],[Annual Use]]=0,0,Operations[[#This Row],[Calc Beg Yr. Value]]*'General Variables'!$B$9/Operations[[#This Row],[Annual Use]])</f>
        <v>0</v>
      </c>
      <c r="T76" s="116">
        <f>IF(Operations[[#This Row],[Annual Use]]=0,0,Operations[[#This Row],[Calc Beg Yr. Value]]*'General Variables'!$B$10/Operations[[#This Row],[Annual Use]])</f>
        <v>0</v>
      </c>
      <c r="U76" s="116">
        <f>SUM(Operations[[#This Row],[Depreciation per Unit]:[Opportunity Cost per Unit]])</f>
        <v>0</v>
      </c>
    </row>
    <row r="77" spans="1:21" ht="12.75" customHeight="1" x14ac:dyDescent="0.2">
      <c r="A77" s="152"/>
      <c r="B77" s="153"/>
      <c r="C77" s="154"/>
      <c r="D77" s="154"/>
      <c r="E77" s="138"/>
      <c r="F77" s="139"/>
      <c r="G77" s="138"/>
      <c r="H77" s="138"/>
      <c r="I77" s="140"/>
      <c r="J77" s="141"/>
      <c r="K77" s="154"/>
      <c r="L77" s="139"/>
      <c r="M77" s="142"/>
      <c r="N7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5">
        <f>IF(Operations[[#This Row],[Calc List Price]]=0,0,IF(Operations[[#This Row],[Units per Hour]]*Operations[[#This Row],[Annual Use]]=0,0,(Operations[[#This Row],[Calc Beg Yr. Value]]-Operations[[#This Row],[Calc End Yr. Value]])/(Operations[[#This Row],[Annual Use]])))</f>
        <v>0</v>
      </c>
      <c r="S77" s="116">
        <f>IF(Operations[[#This Row],[Annual Use]]=0,0,Operations[[#This Row],[Calc Beg Yr. Value]]*'General Variables'!$B$9/Operations[[#This Row],[Annual Use]])</f>
        <v>0</v>
      </c>
      <c r="T77" s="116">
        <f>IF(Operations[[#This Row],[Annual Use]]=0,0,Operations[[#This Row],[Calc Beg Yr. Value]]*'General Variables'!$B$10/Operations[[#This Row],[Annual Use]])</f>
        <v>0</v>
      </c>
      <c r="U77" s="116">
        <f>SUM(Operations[[#This Row],[Depreciation per Unit]:[Opportunity Cost per Unit]])</f>
        <v>0</v>
      </c>
    </row>
    <row r="78" spans="1:21" ht="12.75" customHeight="1" x14ac:dyDescent="0.2">
      <c r="A78" s="152"/>
      <c r="B78" s="153"/>
      <c r="C78" s="154"/>
      <c r="D78" s="154"/>
      <c r="E78" s="138"/>
      <c r="F78" s="139"/>
      <c r="G78" s="138"/>
      <c r="H78" s="138"/>
      <c r="I78" s="140"/>
      <c r="J78" s="141"/>
      <c r="K78" s="154"/>
      <c r="L78" s="139"/>
      <c r="M78" s="142"/>
      <c r="N7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5">
        <f>IF(Operations[[#This Row],[Calc List Price]]=0,0,IF(Operations[[#This Row],[Units per Hour]]*Operations[[#This Row],[Annual Use]]=0,0,(Operations[[#This Row],[Calc Beg Yr. Value]]-Operations[[#This Row],[Calc End Yr. Value]])/(Operations[[#This Row],[Annual Use]])))</f>
        <v>0</v>
      </c>
      <c r="S78" s="116">
        <f>IF(Operations[[#This Row],[Annual Use]]=0,0,Operations[[#This Row],[Calc Beg Yr. Value]]*'General Variables'!$B$9/Operations[[#This Row],[Annual Use]])</f>
        <v>0</v>
      </c>
      <c r="T78" s="116">
        <f>IF(Operations[[#This Row],[Annual Use]]=0,0,Operations[[#This Row],[Calc Beg Yr. Value]]*'General Variables'!$B$10/Operations[[#This Row],[Annual Use]])</f>
        <v>0</v>
      </c>
      <c r="U78" s="116">
        <f>SUM(Operations[[#This Row],[Depreciation per Unit]:[Opportunity Cost per Unit]])</f>
        <v>0</v>
      </c>
    </row>
    <row r="79" spans="1:21" ht="12.75" customHeight="1" x14ac:dyDescent="0.2">
      <c r="A79" s="152"/>
      <c r="B79" s="153"/>
      <c r="C79" s="154"/>
      <c r="D79" s="154"/>
      <c r="E79" s="138"/>
      <c r="F79" s="139"/>
      <c r="G79" s="138"/>
      <c r="H79" s="138"/>
      <c r="I79" s="140"/>
      <c r="J79" s="141"/>
      <c r="K79" s="154"/>
      <c r="L79" s="139"/>
      <c r="M79" s="142"/>
      <c r="N7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5">
        <f>IF(Operations[[#This Row],[Calc List Price]]=0,0,IF(Operations[[#This Row],[Units per Hour]]*Operations[[#This Row],[Annual Use]]=0,0,(Operations[[#This Row],[Calc Beg Yr. Value]]-Operations[[#This Row],[Calc End Yr. Value]])/(Operations[[#This Row],[Annual Use]])))</f>
        <v>0</v>
      </c>
      <c r="S79" s="116">
        <f>IF(Operations[[#This Row],[Annual Use]]=0,0,Operations[[#This Row],[Calc Beg Yr. Value]]*'General Variables'!$B$9/Operations[[#This Row],[Annual Use]])</f>
        <v>0</v>
      </c>
      <c r="T79" s="116">
        <f>IF(Operations[[#This Row],[Annual Use]]=0,0,Operations[[#This Row],[Calc Beg Yr. Value]]*'General Variables'!$B$10/Operations[[#This Row],[Annual Use]])</f>
        <v>0</v>
      </c>
      <c r="U79" s="116">
        <f>SUM(Operations[[#This Row],[Depreciation per Unit]:[Opportunity Cost per Unit]])</f>
        <v>0</v>
      </c>
    </row>
    <row r="80" spans="1:21" ht="12.75" customHeight="1" x14ac:dyDescent="0.2">
      <c r="A80" s="152"/>
      <c r="B80" s="153"/>
      <c r="C80" s="154"/>
      <c r="D80" s="154"/>
      <c r="E80" s="138"/>
      <c r="F80" s="139"/>
      <c r="G80" s="138"/>
      <c r="H80" s="138"/>
      <c r="I80" s="140"/>
      <c r="J80" s="141"/>
      <c r="K80" s="154"/>
      <c r="L80" s="139"/>
      <c r="M80" s="142"/>
      <c r="N8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5">
        <f>IF(Operations[[#This Row],[Calc List Price]]=0,0,IF(Operations[[#This Row],[Units per Hour]]*Operations[[#This Row],[Annual Use]]=0,0,(Operations[[#This Row],[Calc Beg Yr. Value]]-Operations[[#This Row],[Calc End Yr. Value]])/(Operations[[#This Row],[Annual Use]])))</f>
        <v>0</v>
      </c>
      <c r="S80" s="116">
        <f>IF(Operations[[#This Row],[Annual Use]]=0,0,Operations[[#This Row],[Calc Beg Yr. Value]]*'General Variables'!$B$9/Operations[[#This Row],[Annual Use]])</f>
        <v>0</v>
      </c>
      <c r="T80" s="116">
        <f>IF(Operations[[#This Row],[Annual Use]]=0,0,Operations[[#This Row],[Calc Beg Yr. Value]]*'General Variables'!$B$10/Operations[[#This Row],[Annual Use]])</f>
        <v>0</v>
      </c>
      <c r="U80" s="116">
        <f>SUM(Operations[[#This Row],[Depreciation per Unit]:[Opportunity Cost per Unit]])</f>
        <v>0</v>
      </c>
    </row>
    <row r="81" spans="1:21" ht="12.75" customHeight="1" x14ac:dyDescent="0.2">
      <c r="A81" s="152"/>
      <c r="B81" s="153"/>
      <c r="C81" s="154"/>
      <c r="D81" s="154"/>
      <c r="E81" s="138"/>
      <c r="F81" s="139"/>
      <c r="G81" s="138"/>
      <c r="H81" s="138"/>
      <c r="I81" s="140"/>
      <c r="J81" s="141"/>
      <c r="K81" s="154"/>
      <c r="L81" s="139"/>
      <c r="M81" s="142"/>
      <c r="N8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5">
        <f>IF(Operations[[#This Row],[Calc List Price]]=0,0,IF(Operations[[#This Row],[Units per Hour]]*Operations[[#This Row],[Annual Use]]=0,0,(Operations[[#This Row],[Calc Beg Yr. Value]]-Operations[[#This Row],[Calc End Yr. Value]])/(Operations[[#This Row],[Annual Use]])))</f>
        <v>0</v>
      </c>
      <c r="S81" s="116">
        <f>IF(Operations[[#This Row],[Annual Use]]=0,0,Operations[[#This Row],[Calc Beg Yr. Value]]*'General Variables'!$B$9/Operations[[#This Row],[Annual Use]])</f>
        <v>0</v>
      </c>
      <c r="T81" s="116">
        <f>IF(Operations[[#This Row],[Annual Use]]=0,0,Operations[[#This Row],[Calc Beg Yr. Value]]*'General Variables'!$B$10/Operations[[#This Row],[Annual Use]])</f>
        <v>0</v>
      </c>
      <c r="U81" s="116">
        <f>SUM(Operations[[#This Row],[Depreciation per Unit]:[Opportunity Cost per Unit]])</f>
        <v>0</v>
      </c>
    </row>
    <row r="82" spans="1:21" ht="12.75" customHeight="1" x14ac:dyDescent="0.2">
      <c r="A82" s="152"/>
      <c r="B82" s="153"/>
      <c r="C82" s="154"/>
      <c r="D82" s="154"/>
      <c r="E82" s="138"/>
      <c r="F82" s="139"/>
      <c r="G82" s="138"/>
      <c r="H82" s="138"/>
      <c r="I82" s="140"/>
      <c r="J82" s="141"/>
      <c r="K82" s="154"/>
      <c r="L82" s="139"/>
      <c r="M82" s="142"/>
      <c r="N8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5">
        <f>IF(Operations[[#This Row],[Calc List Price]]=0,0,IF(Operations[[#This Row],[Units per Hour]]*Operations[[#This Row],[Annual Use]]=0,0,(Operations[[#This Row],[Calc Beg Yr. Value]]-Operations[[#This Row],[Calc End Yr. Value]])/(Operations[[#This Row],[Annual Use]])))</f>
        <v>0</v>
      </c>
      <c r="S82" s="116">
        <f>IF(Operations[[#This Row],[Annual Use]]=0,0,Operations[[#This Row],[Calc Beg Yr. Value]]*'General Variables'!$B$9/Operations[[#This Row],[Annual Use]])</f>
        <v>0</v>
      </c>
      <c r="T82" s="116">
        <f>IF(Operations[[#This Row],[Annual Use]]=0,0,Operations[[#This Row],[Calc Beg Yr. Value]]*'General Variables'!$B$10/Operations[[#This Row],[Annual Use]])</f>
        <v>0</v>
      </c>
      <c r="U82" s="116">
        <f>SUM(Operations[[#This Row],[Depreciation per Unit]:[Opportunity Cost per Unit]])</f>
        <v>0</v>
      </c>
    </row>
    <row r="83" spans="1:21" ht="12.75" customHeight="1" x14ac:dyDescent="0.2">
      <c r="A83" s="152"/>
      <c r="B83" s="153"/>
      <c r="C83" s="154"/>
      <c r="D83" s="154"/>
      <c r="E83" s="138"/>
      <c r="F83" s="139"/>
      <c r="G83" s="138"/>
      <c r="H83" s="138"/>
      <c r="I83" s="140"/>
      <c r="J83" s="141"/>
      <c r="K83" s="154"/>
      <c r="L83" s="139"/>
      <c r="M83" s="142"/>
      <c r="N8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5">
        <f>IF(Operations[[#This Row],[Calc List Price]]=0,0,IF(Operations[[#This Row],[Units per Hour]]*Operations[[#This Row],[Annual Use]]=0,0,(Operations[[#This Row],[Calc Beg Yr. Value]]-Operations[[#This Row],[Calc End Yr. Value]])/(Operations[[#This Row],[Annual Use]])))</f>
        <v>0</v>
      </c>
      <c r="S83" s="116">
        <f>IF(Operations[[#This Row],[Annual Use]]=0,0,Operations[[#This Row],[Calc Beg Yr. Value]]*'General Variables'!$B$9/Operations[[#This Row],[Annual Use]])</f>
        <v>0</v>
      </c>
      <c r="T83" s="116">
        <f>IF(Operations[[#This Row],[Annual Use]]=0,0,Operations[[#This Row],[Calc Beg Yr. Value]]*'General Variables'!$B$10/Operations[[#This Row],[Annual Use]])</f>
        <v>0</v>
      </c>
      <c r="U83" s="116">
        <f>SUM(Operations[[#This Row],[Depreciation per Unit]:[Opportunity Cost per Unit]])</f>
        <v>0</v>
      </c>
    </row>
    <row r="84" spans="1:21" ht="12.75" customHeight="1" x14ac:dyDescent="0.2">
      <c r="A84" s="152"/>
      <c r="B84" s="153"/>
      <c r="C84" s="154"/>
      <c r="D84" s="154"/>
      <c r="E84" s="138"/>
      <c r="F84" s="139"/>
      <c r="G84" s="138"/>
      <c r="H84" s="138"/>
      <c r="I84" s="140"/>
      <c r="J84" s="141"/>
      <c r="K84" s="154"/>
      <c r="L84" s="139"/>
      <c r="M84" s="142"/>
      <c r="N8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5">
        <f>IF(Operations[[#This Row],[Calc List Price]]=0,0,IF(Operations[[#This Row],[Units per Hour]]*Operations[[#This Row],[Annual Use]]=0,0,(Operations[[#This Row],[Calc Beg Yr. Value]]-Operations[[#This Row],[Calc End Yr. Value]])/(Operations[[#This Row],[Annual Use]])))</f>
        <v>0</v>
      </c>
      <c r="S84" s="116">
        <f>IF(Operations[[#This Row],[Annual Use]]=0,0,Operations[[#This Row],[Calc Beg Yr. Value]]*'General Variables'!$B$9/Operations[[#This Row],[Annual Use]])</f>
        <v>0</v>
      </c>
      <c r="T84" s="116">
        <f>IF(Operations[[#This Row],[Annual Use]]=0,0,Operations[[#This Row],[Calc Beg Yr. Value]]*'General Variables'!$B$10/Operations[[#This Row],[Annual Use]])</f>
        <v>0</v>
      </c>
      <c r="U84" s="116">
        <f>SUM(Operations[[#This Row],[Depreciation per Unit]:[Opportunity Cost per Unit]])</f>
        <v>0</v>
      </c>
    </row>
    <row r="85" spans="1:21" ht="12.75" customHeight="1" x14ac:dyDescent="0.2">
      <c r="A85" s="152"/>
      <c r="B85" s="153"/>
      <c r="C85" s="154"/>
      <c r="D85" s="154"/>
      <c r="E85" s="138"/>
      <c r="F85" s="139"/>
      <c r="G85" s="138"/>
      <c r="H85" s="138"/>
      <c r="I85" s="140"/>
      <c r="J85" s="141"/>
      <c r="K85" s="154"/>
      <c r="L85" s="139"/>
      <c r="M85" s="142"/>
      <c r="N8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5">
        <f>IF(Operations[[#This Row],[Calc List Price]]=0,0,IF(Operations[[#This Row],[Units per Hour]]*Operations[[#This Row],[Annual Use]]=0,0,(Operations[[#This Row],[Calc Beg Yr. Value]]-Operations[[#This Row],[Calc End Yr. Value]])/(Operations[[#This Row],[Annual Use]])))</f>
        <v>0</v>
      </c>
      <c r="S85" s="116">
        <f>IF(Operations[[#This Row],[Annual Use]]=0,0,Operations[[#This Row],[Calc Beg Yr. Value]]*'General Variables'!$B$9/Operations[[#This Row],[Annual Use]])</f>
        <v>0</v>
      </c>
      <c r="T85" s="116">
        <f>IF(Operations[[#This Row],[Annual Use]]=0,0,Operations[[#This Row],[Calc Beg Yr. Value]]*'General Variables'!$B$10/Operations[[#This Row],[Annual Use]])</f>
        <v>0</v>
      </c>
      <c r="U85" s="116">
        <f>SUM(Operations[[#This Row],[Depreciation per Unit]:[Opportunity Cost per Unit]])</f>
        <v>0</v>
      </c>
    </row>
    <row r="86" spans="1:21" ht="12.75" customHeight="1" x14ac:dyDescent="0.2">
      <c r="A86" s="152"/>
      <c r="B86" s="153"/>
      <c r="C86" s="154"/>
      <c r="D86" s="154"/>
      <c r="E86" s="138"/>
      <c r="F86" s="139"/>
      <c r="G86" s="138"/>
      <c r="H86" s="138"/>
      <c r="I86" s="140"/>
      <c r="J86" s="141"/>
      <c r="K86" s="154"/>
      <c r="L86" s="139"/>
      <c r="M86" s="142"/>
      <c r="N8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5">
        <f>IF(Operations[[#This Row],[Calc List Price]]=0,0,IF(Operations[[#This Row],[Units per Hour]]*Operations[[#This Row],[Annual Use]]=0,0,(Operations[[#This Row],[Calc Beg Yr. Value]]-Operations[[#This Row],[Calc End Yr. Value]])/(Operations[[#This Row],[Annual Use]])))</f>
        <v>0</v>
      </c>
      <c r="S86" s="116">
        <f>IF(Operations[[#This Row],[Annual Use]]=0,0,Operations[[#This Row],[Calc Beg Yr. Value]]*'General Variables'!$B$9/Operations[[#This Row],[Annual Use]])</f>
        <v>0</v>
      </c>
      <c r="T86" s="116">
        <f>IF(Operations[[#This Row],[Annual Use]]=0,0,Operations[[#This Row],[Calc Beg Yr. Value]]*'General Variables'!$B$10/Operations[[#This Row],[Annual Use]])</f>
        <v>0</v>
      </c>
      <c r="U86" s="116">
        <f>SUM(Operations[[#This Row],[Depreciation per Unit]:[Opportunity Cost per Unit]])</f>
        <v>0</v>
      </c>
    </row>
    <row r="87" spans="1:21" ht="12.75" customHeight="1" x14ac:dyDescent="0.2">
      <c r="A87" s="152"/>
      <c r="B87" s="153"/>
      <c r="C87" s="154"/>
      <c r="D87" s="154"/>
      <c r="E87" s="138"/>
      <c r="F87" s="139"/>
      <c r="G87" s="138"/>
      <c r="H87" s="138"/>
      <c r="I87" s="140"/>
      <c r="J87" s="141"/>
      <c r="K87" s="154"/>
      <c r="L87" s="139"/>
      <c r="M87" s="142"/>
      <c r="N8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5">
        <f>IF(Operations[[#This Row],[Calc List Price]]=0,0,IF(Operations[[#This Row],[Units per Hour]]*Operations[[#This Row],[Annual Use]]=0,0,(Operations[[#This Row],[Calc Beg Yr. Value]]-Operations[[#This Row],[Calc End Yr. Value]])/(Operations[[#This Row],[Annual Use]])))</f>
        <v>0</v>
      </c>
      <c r="S87" s="116">
        <f>IF(Operations[[#This Row],[Annual Use]]=0,0,Operations[[#This Row],[Calc Beg Yr. Value]]*'General Variables'!$B$9/Operations[[#This Row],[Annual Use]])</f>
        <v>0</v>
      </c>
      <c r="T87" s="116">
        <f>IF(Operations[[#This Row],[Annual Use]]=0,0,Operations[[#This Row],[Calc Beg Yr. Value]]*'General Variables'!$B$10/Operations[[#This Row],[Annual Use]])</f>
        <v>0</v>
      </c>
      <c r="U87" s="116">
        <f>SUM(Operations[[#This Row],[Depreciation per Unit]:[Opportunity Cost per Unit]])</f>
        <v>0</v>
      </c>
    </row>
    <row r="88" spans="1:21" ht="12.75" customHeight="1" x14ac:dyDescent="0.2">
      <c r="A88" s="152"/>
      <c r="B88" s="153"/>
      <c r="C88" s="154"/>
      <c r="D88" s="154"/>
      <c r="E88" s="138"/>
      <c r="F88" s="139"/>
      <c r="G88" s="138"/>
      <c r="H88" s="138"/>
      <c r="I88" s="140"/>
      <c r="J88" s="141"/>
      <c r="K88" s="154"/>
      <c r="L88" s="139"/>
      <c r="M88" s="142"/>
      <c r="N8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5">
        <f>IF(Operations[[#This Row],[Calc List Price]]=0,0,IF(Operations[[#This Row],[Units per Hour]]*Operations[[#This Row],[Annual Use]]=0,0,(Operations[[#This Row],[Calc Beg Yr. Value]]-Operations[[#This Row],[Calc End Yr. Value]])/(Operations[[#This Row],[Annual Use]])))</f>
        <v>0</v>
      </c>
      <c r="S88" s="116">
        <f>IF(Operations[[#This Row],[Annual Use]]=0,0,Operations[[#This Row],[Calc Beg Yr. Value]]*'General Variables'!$B$9/Operations[[#This Row],[Annual Use]])</f>
        <v>0</v>
      </c>
      <c r="T88" s="116">
        <f>IF(Operations[[#This Row],[Annual Use]]=0,0,Operations[[#This Row],[Calc Beg Yr. Value]]*'General Variables'!$B$10/Operations[[#This Row],[Annual Use]])</f>
        <v>0</v>
      </c>
      <c r="U88" s="116">
        <f>SUM(Operations[[#This Row],[Depreciation per Unit]:[Opportunity Cost per Unit]])</f>
        <v>0</v>
      </c>
    </row>
    <row r="89" spans="1:21" ht="12.75" customHeight="1" x14ac:dyDescent="0.2">
      <c r="A89" s="152"/>
      <c r="B89" s="153"/>
      <c r="C89" s="154"/>
      <c r="D89" s="154"/>
      <c r="E89" s="138"/>
      <c r="F89" s="139"/>
      <c r="G89" s="138"/>
      <c r="H89" s="138"/>
      <c r="I89" s="140"/>
      <c r="J89" s="141"/>
      <c r="K89" s="154"/>
      <c r="L89" s="139"/>
      <c r="M89" s="142"/>
      <c r="N8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5">
        <f>IF(Operations[[#This Row],[Calc List Price]]=0,0,IF(Operations[[#This Row],[Units per Hour]]*Operations[[#This Row],[Annual Use]]=0,0,(Operations[[#This Row],[Calc Beg Yr. Value]]-Operations[[#This Row],[Calc End Yr. Value]])/(Operations[[#This Row],[Annual Use]])))</f>
        <v>0</v>
      </c>
      <c r="S89" s="116">
        <f>IF(Operations[[#This Row],[Annual Use]]=0,0,Operations[[#This Row],[Calc Beg Yr. Value]]*'General Variables'!$B$9/Operations[[#This Row],[Annual Use]])</f>
        <v>0</v>
      </c>
      <c r="T89" s="116">
        <f>IF(Operations[[#This Row],[Annual Use]]=0,0,Operations[[#This Row],[Calc Beg Yr. Value]]*'General Variables'!$B$10/Operations[[#This Row],[Annual Use]])</f>
        <v>0</v>
      </c>
      <c r="U89" s="116">
        <f>SUM(Operations[[#This Row],[Depreciation per Unit]:[Opportunity Cost per Unit]])</f>
        <v>0</v>
      </c>
    </row>
    <row r="90" spans="1:21" ht="12.75" customHeight="1" x14ac:dyDescent="0.2">
      <c r="A90" s="152"/>
      <c r="B90" s="153"/>
      <c r="C90" s="154"/>
      <c r="D90" s="154"/>
      <c r="E90" s="138"/>
      <c r="F90" s="139"/>
      <c r="G90" s="138"/>
      <c r="H90" s="138"/>
      <c r="I90" s="140"/>
      <c r="J90" s="141"/>
      <c r="K90" s="154"/>
      <c r="L90" s="139"/>
      <c r="M90" s="142"/>
      <c r="N9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5">
        <f>IF(Operations[[#This Row],[Calc List Price]]=0,0,IF(Operations[[#This Row],[Units per Hour]]*Operations[[#This Row],[Annual Use]]=0,0,(Operations[[#This Row],[Calc Beg Yr. Value]]-Operations[[#This Row],[Calc End Yr. Value]])/(Operations[[#This Row],[Annual Use]])))</f>
        <v>0</v>
      </c>
      <c r="S90" s="116">
        <f>IF(Operations[[#This Row],[Annual Use]]=0,0,Operations[[#This Row],[Calc Beg Yr. Value]]*'General Variables'!$B$9/Operations[[#This Row],[Annual Use]])</f>
        <v>0</v>
      </c>
      <c r="T90" s="116">
        <f>IF(Operations[[#This Row],[Annual Use]]=0,0,Operations[[#This Row],[Calc Beg Yr. Value]]*'General Variables'!$B$10/Operations[[#This Row],[Annual Use]])</f>
        <v>0</v>
      </c>
      <c r="U90" s="116">
        <f>SUM(Operations[[#This Row],[Depreciation per Unit]:[Opportunity Cost per Unit]])</f>
        <v>0</v>
      </c>
    </row>
    <row r="91" spans="1:21" ht="12.75" customHeight="1" x14ac:dyDescent="0.2">
      <c r="A91" s="152"/>
      <c r="B91" s="153"/>
      <c r="C91" s="154"/>
      <c r="D91" s="154"/>
      <c r="E91" s="138"/>
      <c r="F91" s="139"/>
      <c r="G91" s="138"/>
      <c r="H91" s="138"/>
      <c r="I91" s="140"/>
      <c r="J91" s="141"/>
      <c r="K91" s="154"/>
      <c r="L91" s="139"/>
      <c r="M91" s="142"/>
      <c r="N9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5">
        <f>IF(Operations[[#This Row],[Calc List Price]]=0,0,IF(Operations[[#This Row],[Units per Hour]]*Operations[[#This Row],[Annual Use]]=0,0,(Operations[[#This Row],[Calc Beg Yr. Value]]-Operations[[#This Row],[Calc End Yr. Value]])/(Operations[[#This Row],[Annual Use]])))</f>
        <v>0</v>
      </c>
      <c r="S91" s="116">
        <f>IF(Operations[[#This Row],[Annual Use]]=0,0,Operations[[#This Row],[Calc Beg Yr. Value]]*'General Variables'!$B$9/Operations[[#This Row],[Annual Use]])</f>
        <v>0</v>
      </c>
      <c r="T91" s="116">
        <f>IF(Operations[[#This Row],[Annual Use]]=0,0,Operations[[#This Row],[Calc Beg Yr. Value]]*'General Variables'!$B$10/Operations[[#This Row],[Annual Use]])</f>
        <v>0</v>
      </c>
      <c r="U91" s="116">
        <f>SUM(Operations[[#This Row],[Depreciation per Unit]:[Opportunity Cost per Unit]])</f>
        <v>0</v>
      </c>
    </row>
    <row r="92" spans="1:21" ht="12.75" customHeight="1" x14ac:dyDescent="0.2">
      <c r="A92" s="152"/>
      <c r="B92" s="153"/>
      <c r="C92" s="154"/>
      <c r="D92" s="154"/>
      <c r="E92" s="138"/>
      <c r="F92" s="139"/>
      <c r="G92" s="138"/>
      <c r="H92" s="138"/>
      <c r="I92" s="140"/>
      <c r="J92" s="141"/>
      <c r="K92" s="154"/>
      <c r="L92" s="139"/>
      <c r="M92" s="142"/>
      <c r="N9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5">
        <f>IF(Operations[[#This Row],[Calc List Price]]=0,0,IF(Operations[[#This Row],[Units per Hour]]*Operations[[#This Row],[Annual Use]]=0,0,(Operations[[#This Row],[Calc Beg Yr. Value]]-Operations[[#This Row],[Calc End Yr. Value]])/(Operations[[#This Row],[Annual Use]])))</f>
        <v>0</v>
      </c>
      <c r="S92" s="116">
        <f>IF(Operations[[#This Row],[Annual Use]]=0,0,Operations[[#This Row],[Calc Beg Yr. Value]]*'General Variables'!$B$9/Operations[[#This Row],[Annual Use]])</f>
        <v>0</v>
      </c>
      <c r="T92" s="116">
        <f>IF(Operations[[#This Row],[Annual Use]]=0,0,Operations[[#This Row],[Calc Beg Yr. Value]]*'General Variables'!$B$10/Operations[[#This Row],[Annual Use]])</f>
        <v>0</v>
      </c>
      <c r="U92" s="116">
        <f>SUM(Operations[[#This Row],[Depreciation per Unit]:[Opportunity Cost per Unit]])</f>
        <v>0</v>
      </c>
    </row>
    <row r="93" spans="1:21" ht="12.75" customHeight="1" x14ac:dyDescent="0.2">
      <c r="A93" s="152"/>
      <c r="B93" s="153"/>
      <c r="C93" s="154"/>
      <c r="D93" s="154"/>
      <c r="E93" s="138"/>
      <c r="F93" s="139"/>
      <c r="G93" s="138"/>
      <c r="H93" s="138"/>
      <c r="I93" s="140"/>
      <c r="J93" s="141"/>
      <c r="K93" s="154"/>
      <c r="L93" s="139"/>
      <c r="M93" s="142"/>
      <c r="N9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5">
        <f>IF(Operations[[#This Row],[Calc List Price]]=0,0,IF(Operations[[#This Row],[Units per Hour]]*Operations[[#This Row],[Annual Use]]=0,0,(Operations[[#This Row],[Calc Beg Yr. Value]]-Operations[[#This Row],[Calc End Yr. Value]])/(Operations[[#This Row],[Annual Use]])))</f>
        <v>0</v>
      </c>
      <c r="S93" s="116">
        <f>IF(Operations[[#This Row],[Annual Use]]=0,0,Operations[[#This Row],[Calc Beg Yr. Value]]*'General Variables'!$B$9/Operations[[#This Row],[Annual Use]])</f>
        <v>0</v>
      </c>
      <c r="T93" s="116">
        <f>IF(Operations[[#This Row],[Annual Use]]=0,0,Operations[[#This Row],[Calc Beg Yr. Value]]*'General Variables'!$B$10/Operations[[#This Row],[Annual Use]])</f>
        <v>0</v>
      </c>
      <c r="U93" s="116">
        <f>SUM(Operations[[#This Row],[Depreciation per Unit]:[Opportunity Cost per Unit]])</f>
        <v>0</v>
      </c>
    </row>
    <row r="94" spans="1:21" ht="12.75" customHeight="1" x14ac:dyDescent="0.2">
      <c r="A94" s="152"/>
      <c r="B94" s="153"/>
      <c r="C94" s="154"/>
      <c r="D94" s="154"/>
      <c r="E94" s="138"/>
      <c r="F94" s="139"/>
      <c r="G94" s="138"/>
      <c r="H94" s="138"/>
      <c r="I94" s="140"/>
      <c r="J94" s="141"/>
      <c r="K94" s="154"/>
      <c r="L94" s="139"/>
      <c r="M94" s="142"/>
      <c r="N9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5">
        <f>IF(Operations[[#This Row],[Calc List Price]]=0,0,IF(Operations[[#This Row],[Units per Hour]]*Operations[[#This Row],[Annual Use]]=0,0,(Operations[[#This Row],[Calc Beg Yr. Value]]-Operations[[#This Row],[Calc End Yr. Value]])/(Operations[[#This Row],[Annual Use]])))</f>
        <v>0</v>
      </c>
      <c r="S94" s="116">
        <f>IF(Operations[[#This Row],[Annual Use]]=0,0,Operations[[#This Row],[Calc Beg Yr. Value]]*'General Variables'!$B$9/Operations[[#This Row],[Annual Use]])</f>
        <v>0</v>
      </c>
      <c r="T94" s="116">
        <f>IF(Operations[[#This Row],[Annual Use]]=0,0,Operations[[#This Row],[Calc Beg Yr. Value]]*'General Variables'!$B$10/Operations[[#This Row],[Annual Use]])</f>
        <v>0</v>
      </c>
      <c r="U94" s="116">
        <f>SUM(Operations[[#This Row],[Depreciation per Unit]:[Opportunity Cost per Unit]])</f>
        <v>0</v>
      </c>
    </row>
    <row r="95" spans="1:21" ht="12.75" customHeight="1" x14ac:dyDescent="0.2">
      <c r="A95" s="152"/>
      <c r="B95" s="153"/>
      <c r="C95" s="154"/>
      <c r="D95" s="154"/>
      <c r="E95" s="138"/>
      <c r="F95" s="139"/>
      <c r="G95" s="138"/>
      <c r="H95" s="138"/>
      <c r="I95" s="140"/>
      <c r="J95" s="141"/>
      <c r="K95" s="154"/>
      <c r="L95" s="139"/>
      <c r="M95" s="142"/>
      <c r="N9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5">
        <f>IF(Operations[[#This Row],[Calc List Price]]=0,0,IF(Operations[[#This Row],[Units per Hour]]*Operations[[#This Row],[Annual Use]]=0,0,(Operations[[#This Row],[Calc Beg Yr. Value]]-Operations[[#This Row],[Calc End Yr. Value]])/(Operations[[#This Row],[Annual Use]])))</f>
        <v>0</v>
      </c>
      <c r="S95" s="116">
        <f>IF(Operations[[#This Row],[Annual Use]]=0,0,Operations[[#This Row],[Calc Beg Yr. Value]]*'General Variables'!$B$9/Operations[[#This Row],[Annual Use]])</f>
        <v>0</v>
      </c>
      <c r="T95" s="116">
        <f>IF(Operations[[#This Row],[Annual Use]]=0,0,Operations[[#This Row],[Calc Beg Yr. Value]]*'General Variables'!$B$10/Operations[[#This Row],[Annual Use]])</f>
        <v>0</v>
      </c>
      <c r="U95" s="116">
        <f>SUM(Operations[[#This Row],[Depreciation per Unit]:[Opportunity Cost per Unit]])</f>
        <v>0</v>
      </c>
    </row>
    <row r="96" spans="1:21" ht="12.75" customHeight="1" x14ac:dyDescent="0.2">
      <c r="A96" s="152"/>
      <c r="B96" s="153"/>
      <c r="C96" s="154"/>
      <c r="D96" s="154"/>
      <c r="E96" s="138"/>
      <c r="F96" s="139"/>
      <c r="G96" s="138"/>
      <c r="H96" s="138"/>
      <c r="I96" s="140"/>
      <c r="J96" s="141"/>
      <c r="K96" s="154"/>
      <c r="L96" s="139"/>
      <c r="M96" s="155"/>
      <c r="N9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5">
        <f>IF(Operations[[#This Row],[Calc List Price]]=0,0,IF(Operations[[#This Row],[Units per Hour]]*Operations[[#This Row],[Annual Use]]=0,0,(Operations[[#This Row],[Calc Beg Yr. Value]]-Operations[[#This Row],[Calc End Yr. Value]])/(Operations[[#This Row],[Annual Use]])))</f>
        <v>0</v>
      </c>
      <c r="S96" s="116">
        <f>IF(Operations[[#This Row],[Annual Use]]=0,0,Operations[[#This Row],[Calc Beg Yr. Value]]*'General Variables'!$B$9/Operations[[#This Row],[Annual Use]])</f>
        <v>0</v>
      </c>
      <c r="T96" s="116">
        <f>IF(Operations[[#This Row],[Annual Use]]=0,0,Operations[[#This Row],[Calc Beg Yr. Value]]*'General Variables'!$B$10/Operations[[#This Row],[Annual Use]])</f>
        <v>0</v>
      </c>
      <c r="U96" s="116">
        <f>SUM(Operations[[#This Row],[Depreciation per Unit]:[Opportunity Cost per Unit]])</f>
        <v>0</v>
      </c>
    </row>
    <row r="97" spans="1:21" ht="12.75" customHeight="1" x14ac:dyDescent="0.2">
      <c r="A97" s="152"/>
      <c r="B97" s="153"/>
      <c r="C97" s="154"/>
      <c r="D97" s="154"/>
      <c r="E97" s="138"/>
      <c r="F97" s="139"/>
      <c r="G97" s="138"/>
      <c r="H97" s="138"/>
      <c r="I97" s="140"/>
      <c r="J97" s="141"/>
      <c r="K97" s="154"/>
      <c r="L97" s="139"/>
      <c r="M97" s="155"/>
      <c r="N9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5">
        <f>IF(Operations[[#This Row],[Calc List Price]]=0,0,IF(Operations[[#This Row],[Units per Hour]]*Operations[[#This Row],[Annual Use]]=0,0,(Operations[[#This Row],[Calc Beg Yr. Value]]-Operations[[#This Row],[Calc End Yr. Value]])/(Operations[[#This Row],[Annual Use]])))</f>
        <v>0</v>
      </c>
      <c r="S97" s="116">
        <f>IF(Operations[[#This Row],[Annual Use]]=0,0,Operations[[#This Row],[Calc Beg Yr. Value]]*'General Variables'!$B$9/Operations[[#This Row],[Annual Use]])</f>
        <v>0</v>
      </c>
      <c r="T97" s="116">
        <f>IF(Operations[[#This Row],[Annual Use]]=0,0,Operations[[#This Row],[Calc Beg Yr. Value]]*'General Variables'!$B$10/Operations[[#This Row],[Annual Use]])</f>
        <v>0</v>
      </c>
      <c r="U97" s="116">
        <f>SUM(Operations[[#This Row],[Depreciation per Unit]:[Opportunity Cost per Unit]])</f>
        <v>0</v>
      </c>
    </row>
    <row r="98" spans="1:21" ht="12.75" customHeight="1" x14ac:dyDescent="0.2">
      <c r="A98" s="135"/>
      <c r="B98" s="136"/>
      <c r="C98" s="137"/>
      <c r="D98" s="137"/>
      <c r="E98" s="137"/>
      <c r="F98" s="156"/>
      <c r="G98" s="137"/>
      <c r="H98" s="137"/>
      <c r="I98" s="157"/>
      <c r="J98" s="157"/>
      <c r="K98" s="137"/>
      <c r="L98" s="157"/>
      <c r="M98" s="155"/>
      <c r="N98" s="12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29">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2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2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0">
        <f>IF(Operations[[#This Row],[Calc List Price]]=0,0,IF(Operations[[#This Row],[Units per Hour]]*Operations[[#This Row],[Annual Use]]=0,0,(Operations[[#This Row],[Calc Beg Yr. Value]]-Operations[[#This Row],[Calc End Yr. Value]])/(Operations[[#This Row],[Annual Use]])))</f>
        <v>0</v>
      </c>
      <c r="S98" s="131">
        <f>IF(Operations[[#This Row],[Annual Use]]=0,0,Operations[[#This Row],[Calc Beg Yr. Value]]*'General Variables'!$B$9/Operations[[#This Row],[Annual Use]])</f>
        <v>0</v>
      </c>
      <c r="T98" s="131">
        <f>IF(Operations[[#This Row],[Annual Use]]=0,0,Operations[[#This Row],[Calc Beg Yr. Value]]*'General Variables'!$B$10/Operations[[#This Row],[Annual Use]])</f>
        <v>0</v>
      </c>
      <c r="U98" s="132">
        <f>SUM(Operations[[#This Row],[Depreciation per Unit]:[Opportunity Cost per Unit]])</f>
        <v>0</v>
      </c>
    </row>
    <row r="99" spans="1:21" ht="12.75" customHeight="1" x14ac:dyDescent="0.2">
      <c r="A99" s="135"/>
      <c r="B99" s="136"/>
      <c r="C99" s="137"/>
      <c r="D99" s="137"/>
      <c r="E99" s="137"/>
      <c r="F99" s="156"/>
      <c r="G99" s="137"/>
      <c r="H99" s="137"/>
      <c r="I99" s="157"/>
      <c r="J99" s="157"/>
      <c r="K99" s="137"/>
      <c r="L99" s="157"/>
      <c r="M99" s="155"/>
      <c r="N99" s="12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29">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2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2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0">
        <f>IF(Operations[[#This Row],[Calc List Price]]=0,0,IF(Operations[[#This Row],[Units per Hour]]*Operations[[#This Row],[Annual Use]]=0,0,(Operations[[#This Row],[Calc Beg Yr. Value]]-Operations[[#This Row],[Calc End Yr. Value]])/(Operations[[#This Row],[Annual Use]])))</f>
        <v>0</v>
      </c>
      <c r="S99" s="131">
        <f>IF(Operations[[#This Row],[Annual Use]]=0,0,Operations[[#This Row],[Calc Beg Yr. Value]]*'General Variables'!$B$9/Operations[[#This Row],[Annual Use]])</f>
        <v>0</v>
      </c>
      <c r="T99" s="131">
        <f>IF(Operations[[#This Row],[Annual Use]]=0,0,Operations[[#This Row],[Calc Beg Yr. Value]]*'General Variables'!$B$10/Operations[[#This Row],[Annual Use]])</f>
        <v>0</v>
      </c>
      <c r="U99" s="132">
        <f>SUM(Operations[[#This Row],[Depreciation per Unit]:[Opportunity Cost per Unit]])</f>
        <v>0</v>
      </c>
    </row>
    <row r="100" spans="1:21" ht="12.75" customHeight="1" x14ac:dyDescent="0.2">
      <c r="A100" s="152"/>
      <c r="B100" s="153"/>
      <c r="C100" s="154"/>
      <c r="D100" s="154"/>
      <c r="E100" s="138"/>
      <c r="F100" s="139"/>
      <c r="G100" s="138"/>
      <c r="H100" s="138"/>
      <c r="I100" s="140"/>
      <c r="J100" s="141"/>
      <c r="K100" s="154"/>
      <c r="L100" s="139"/>
      <c r="M100" s="155"/>
      <c r="N10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5">
        <f>IF(Operations[[#This Row],[Calc List Price]]=0,0,IF(Operations[[#This Row],[Units per Hour]]*Operations[[#This Row],[Annual Use]]=0,0,(Operations[[#This Row],[Calc Beg Yr. Value]]-Operations[[#This Row],[Calc End Yr. Value]])/(Operations[[#This Row],[Annual Use]])))</f>
        <v>0</v>
      </c>
      <c r="S100" s="116">
        <f>IF(Operations[[#This Row],[Annual Use]]=0,0,Operations[[#This Row],[Calc Beg Yr. Value]]*'General Variables'!$B$9/Operations[[#This Row],[Annual Use]])</f>
        <v>0</v>
      </c>
      <c r="T100" s="116">
        <f>IF(Operations[[#This Row],[Annual Use]]=0,0,Operations[[#This Row],[Calc Beg Yr. Value]]*'General Variables'!$B$10/Operations[[#This Row],[Annual Use]])</f>
        <v>0</v>
      </c>
      <c r="U100" s="116">
        <f>SUM(Operations[[#This Row],[Depreciation per Unit]:[Opportunity Cost per Unit]])</f>
        <v>0</v>
      </c>
    </row>
    <row r="101" spans="1:21" ht="12.75" customHeight="1" x14ac:dyDescent="0.2">
      <c r="A101" s="152"/>
      <c r="B101" s="153"/>
      <c r="C101" s="154"/>
      <c r="D101" s="154"/>
      <c r="E101" s="154"/>
      <c r="F101" s="139"/>
      <c r="G101" s="138"/>
      <c r="H101" s="154"/>
      <c r="I101" s="141"/>
      <c r="J101" s="141"/>
      <c r="K101" s="154"/>
      <c r="L101" s="139"/>
      <c r="M101" s="155"/>
      <c r="N10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5">
        <f>IF(Operations[[#This Row],[Calc List Price]]=0,0,IF(Operations[[#This Row],[Units per Hour]]*Operations[[#This Row],[Annual Use]]=0,0,(Operations[[#This Row],[Calc Beg Yr. Value]]-Operations[[#This Row],[Calc End Yr. Value]])/(Operations[[#This Row],[Annual Use]])))</f>
        <v>0</v>
      </c>
      <c r="S101" s="116">
        <f>IF(Operations[[#This Row],[Annual Use]]=0,0,Operations[[#This Row],[Calc Beg Yr. Value]]*'General Variables'!$B$9/Operations[[#This Row],[Annual Use]])</f>
        <v>0</v>
      </c>
      <c r="T101" s="116">
        <f>IF(Operations[[#This Row],[Annual Use]]=0,0,Operations[[#This Row],[Calc Beg Yr. Value]]*'General Variables'!$B$10/Operations[[#This Row],[Annual Use]])</f>
        <v>0</v>
      </c>
      <c r="U101" s="116">
        <f>SUM(Operations[[#This Row],[Depreciation per Unit]:[Opportunity Cost per Unit]])</f>
        <v>0</v>
      </c>
    </row>
    <row r="102" spans="1:21" x14ac:dyDescent="0.2">
      <c r="B102" s="117"/>
      <c r="C102" s="117"/>
      <c r="D102" s="117"/>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7" customWidth="1"/>
    <col min="2" max="2" width="27.28515625" style="217" customWidth="1"/>
    <col min="3" max="3" width="7.28515625" style="217" customWidth="1"/>
    <col min="4" max="4" width="4.7109375" style="217" customWidth="1"/>
    <col min="5" max="5" width="9.140625" style="217"/>
    <col min="6" max="6" width="11.140625" style="217" customWidth="1"/>
    <col min="7" max="7" width="8" style="217" customWidth="1"/>
    <col min="8" max="8" width="7.7109375" style="217" customWidth="1"/>
    <col min="9" max="9" width="9.140625" style="217" customWidth="1"/>
    <col min="10" max="10" width="9.140625" style="217"/>
    <col min="11" max="11" width="8.7109375" style="217" customWidth="1"/>
    <col min="12" max="16384" width="9.140625" style="217"/>
  </cols>
  <sheetData>
    <row r="2" spans="1:15" ht="14.25" hidden="1" customHeight="1" x14ac:dyDescent="0.2">
      <c r="A2" s="266" t="s">
        <v>437</v>
      </c>
      <c r="B2" s="265"/>
      <c r="C2" s="264"/>
      <c r="D2" s="264"/>
      <c r="E2" s="265"/>
      <c r="F2" s="264"/>
      <c r="G2" s="264"/>
      <c r="H2" s="267" t="s">
        <v>85</v>
      </c>
      <c r="I2" s="265"/>
      <c r="J2" s="260"/>
      <c r="K2" s="261" t="str">
        <f>'General Variables'!A3&amp;" "&amp;'General Variables'!B3</f>
        <v>Year 2015</v>
      </c>
      <c r="O2" s="226" t="s">
        <v>460</v>
      </c>
    </row>
    <row r="3" spans="1:15" hidden="1" x14ac:dyDescent="0.2">
      <c r="A3" s="266" t="s">
        <v>78</v>
      </c>
      <c r="B3" s="265"/>
      <c r="C3" s="264"/>
      <c r="D3" s="264"/>
      <c r="E3" s="265"/>
      <c r="F3" s="264"/>
      <c r="G3" s="264"/>
      <c r="H3" s="268" t="s">
        <v>86</v>
      </c>
      <c r="I3" s="272" t="str">
        <f>IF(H3="","","acre-inches")</f>
        <v>acre-inches</v>
      </c>
      <c r="J3" s="260"/>
      <c r="K3" s="260"/>
      <c r="O3" s="226" t="s">
        <v>459</v>
      </c>
    </row>
    <row r="4" spans="1:15" hidden="1" x14ac:dyDescent="0.2">
      <c r="A4" s="266" t="s">
        <v>79</v>
      </c>
      <c r="B4" s="266" t="s">
        <v>77</v>
      </c>
      <c r="C4" s="264"/>
      <c r="D4" s="264"/>
      <c r="E4" s="265"/>
      <c r="F4" s="265"/>
      <c r="G4" s="265"/>
      <c r="H4" s="265"/>
      <c r="I4" s="265"/>
      <c r="J4" s="260"/>
      <c r="K4" s="260"/>
      <c r="O4" s="226" t="str">
        <f>B4</f>
        <v>Unit</v>
      </c>
    </row>
    <row r="5" spans="1:15" s="235" customFormat="1" ht="30" customHeight="1" x14ac:dyDescent="0.25">
      <c r="A5" s="318" t="str">
        <f>'General Variables'!B3 &amp; " " &amp; A2 &amp; ", " &amp; A3 &amp; IF(A4=""," ", " (") &amp; A4 &amp; " " &amp; B4 &amp; IF(A4="",""," Actual Yield)")</f>
        <v>2015 Budget . Master, System (Yield Unit Actual Yield)</v>
      </c>
      <c r="B5" s="318"/>
      <c r="C5" s="318"/>
      <c r="D5" s="318"/>
      <c r="E5" s="318"/>
      <c r="F5" s="318"/>
      <c r="G5" s="318"/>
      <c r="H5" s="318"/>
      <c r="I5" s="318"/>
      <c r="J5" s="318"/>
      <c r="K5" s="318"/>
      <c r="L5" s="318"/>
      <c r="O5" s="252"/>
    </row>
    <row r="6" spans="1:15" s="235" customFormat="1" ht="15.75" x14ac:dyDescent="0.25">
      <c r="A6" s="255" t="str">
        <f>IF(H2="Dryland","Dryland",H2 &amp; ", " &amp; H3 &amp; " " &amp;I3)</f>
        <v>Water Source, Water Applied acre-inches</v>
      </c>
      <c r="B6" s="254"/>
      <c r="C6" s="263"/>
      <c r="D6" s="263"/>
      <c r="E6" s="253"/>
      <c r="F6" s="253"/>
      <c r="G6" s="253"/>
      <c r="H6" s="253"/>
      <c r="I6" s="253"/>
      <c r="J6" s="46" t="s">
        <v>570</v>
      </c>
      <c r="K6" s="290"/>
      <c r="O6" s="252"/>
    </row>
    <row r="8" spans="1:15" s="260" customFormat="1" ht="22.5" customHeight="1" x14ac:dyDescent="0.2">
      <c r="B8" s="319" t="s">
        <v>80</v>
      </c>
      <c r="C8" s="317" t="s">
        <v>1</v>
      </c>
      <c r="D8" s="291"/>
      <c r="E8" s="317" t="str">
        <f>"Labor @ $" &amp;TEXT('General Variables'!B4,"#.00")&amp; " /Hr"</f>
        <v>Labor @ $20.00 /Hr</v>
      </c>
      <c r="F8" s="317" t="str">
        <f>"Fuel @ $" &amp; TEXT('General Variables'!B5,"#.00") &amp; " and Lube"</f>
        <v>Fuel @ $3.25 and Lube</v>
      </c>
      <c r="G8" s="321" t="s">
        <v>81</v>
      </c>
      <c r="H8" s="321"/>
      <c r="I8" s="321" t="s">
        <v>382</v>
      </c>
      <c r="J8" s="321"/>
      <c r="K8" s="321" t="s">
        <v>2</v>
      </c>
      <c r="L8" s="317" t="s">
        <v>402</v>
      </c>
    </row>
    <row r="9" spans="1:15" s="260" customFormat="1" ht="17.25" customHeight="1" thickBot="1" x14ac:dyDescent="0.25">
      <c r="B9" s="320"/>
      <c r="C9" s="316"/>
      <c r="D9" s="292" t="s">
        <v>77</v>
      </c>
      <c r="E9" s="316"/>
      <c r="F9" s="316"/>
      <c r="G9" s="293" t="s">
        <v>82</v>
      </c>
      <c r="H9" s="293" t="s">
        <v>84</v>
      </c>
      <c r="I9" s="293" t="s">
        <v>82</v>
      </c>
      <c r="J9" s="293" t="s">
        <v>84</v>
      </c>
      <c r="K9" s="322"/>
      <c r="L9" s="316"/>
    </row>
    <row r="10" spans="1:15" ht="13.5" thickTop="1" x14ac:dyDescent="0.2">
      <c r="A10" s="294">
        <v>1</v>
      </c>
      <c r="B10" s="273"/>
      <c r="C10" s="269">
        <v>1</v>
      </c>
      <c r="D10" s="275"/>
      <c r="E10" s="227" t="str">
        <f>IF(B10=0,"",IF(C10&gt;9999,"",ROUND('General Variables'!$B$4*VLOOKUP(B10,Operations[],10,FALSE)/VLOOKUP(B10,Operations[],9,FALSE)*C10,2)))</f>
        <v/>
      </c>
      <c r="F10" s="227">
        <f>IF(B10=0,0,IF(C10&gt;9999,"",ROUND(IF(VLOOKUP(B10,Operations[],12,FALSE)=0,VLOOKUP(B10,Operations[],13,FALSE)*'General Variables'!$B$8,VLOOKUP(B10,Operations[],12,FALSE)*'General Variables'!$B$7)/VLOOKUP(B10,Operations[],9,FALSE)*C10,2)))</f>
        <v>0</v>
      </c>
      <c r="G10" s="227">
        <f>IF(B10=0,0,IF(C10&gt;9999,"",ROUND(VLOOKUP(VLOOKUP(B10,Operations[],11,FALSE),PowerUnits[],10,FALSE)/VLOOKUP(B10,Operations[],9,FALSE)*C10,2)))</f>
        <v>0</v>
      </c>
      <c r="H10" s="227" t="str">
        <f>IF(B10=0,"",IF(C10&gt;9999,"",ROUND(VLOOKUP($B10,Operations[],15,FALSE)*C10,2)))</f>
        <v/>
      </c>
      <c r="I10" s="227">
        <f>IF(B10=0,0,IF(C10&gt;9999,"",ROUND(VLOOKUP(VLOOKUP(B10,Operations[],11,FALSE),PowerUnits[],16,FALSE)/VLOOKUP(B10,Operations[],9,FALSE)*C10,2)))</f>
        <v>0</v>
      </c>
      <c r="J10" s="227" t="str">
        <f>IF(B10=0,"",IF(C10&gt;9999,"",ROUND(VLOOKUP($B10,Operations[],21,FALSE)*$C10,2)))</f>
        <v/>
      </c>
      <c r="K10" s="227">
        <f>IF(C10&gt;9999,"",ROUND(SUM(E10:J10),2))</f>
        <v>0</v>
      </c>
      <c r="L10" s="229"/>
    </row>
    <row r="11" spans="1:15" x14ac:dyDescent="0.2">
      <c r="A11" s="294">
        <v>2</v>
      </c>
      <c r="B11" s="273"/>
      <c r="C11" s="269">
        <v>1</v>
      </c>
      <c r="D11" s="275"/>
      <c r="E11" s="227" t="str">
        <f>IF(B11=0,"",IF(C11&gt;9999,"",ROUND('General Variables'!$B$4*VLOOKUP(B11,Operations[],10,FALSE)/VLOOKUP(B11,Operations[],9,FALSE)*C11,2)))</f>
        <v/>
      </c>
      <c r="F11" s="227">
        <f>IF(B11=0,0,IF(C11&gt;9999,"",ROUND(IF(VLOOKUP(B11,Operations[],12,FALSE)=0,VLOOKUP(B11,Operations[],13,FALSE)*'General Variables'!$B$8,VLOOKUP(B11,Operations[],12,FALSE)*'General Variables'!$B$7)/VLOOKUP(B11,Operations[],9,FALSE)*C11,2)))</f>
        <v>0</v>
      </c>
      <c r="G11" s="227">
        <f>IF(B11=0,0,IF(C11&gt;9999,"",ROUND(VLOOKUP(VLOOKUP(B11,Operations[],11,FALSE),PowerUnits[],10,FALSE)/VLOOKUP(B11,Operations[],9,FALSE)*C11,2)))</f>
        <v>0</v>
      </c>
      <c r="H11" s="227" t="str">
        <f>IF(B11=0,"",IF(C11&gt;9999,"",ROUND(VLOOKUP($B11,Operations[],15,FALSE)*C11,2)))</f>
        <v/>
      </c>
      <c r="I11" s="227">
        <f>IF(B11=0,0,IF(C11&gt;9999,"",ROUND(VLOOKUP(VLOOKUP(B11,Operations[],11,FALSE),PowerUnits[],16,FALSE)/VLOOKUP(B11,Operations[],9,FALSE)*C11,2)))</f>
        <v>0</v>
      </c>
      <c r="J11" s="227" t="str">
        <f>IF(B11=0,"",IF(C11&gt;9999,"",ROUND(VLOOKUP($B11,Operations[],21,FALSE)*$C11,2)))</f>
        <v/>
      </c>
      <c r="K11" s="227">
        <f t="shared" ref="K11:K29" si="0">IF(C11&gt;9999,"",ROUND(SUM(E11:J11),2))</f>
        <v>0</v>
      </c>
      <c r="L11" s="229"/>
    </row>
    <row r="12" spans="1:15" x14ac:dyDescent="0.2">
      <c r="A12" s="294">
        <v>3</v>
      </c>
      <c r="B12" s="273"/>
      <c r="C12" s="269"/>
      <c r="D12" s="275"/>
      <c r="E12" s="227" t="str">
        <f>IF(B12=0,"",IF(C12&gt;9999,"",ROUND('General Variables'!$B$4*VLOOKUP(B12,Operations[],10,FALSE)/VLOOKUP(B12,Operations[],9,FALSE)*C12,2)))</f>
        <v/>
      </c>
      <c r="F12" s="227">
        <f>IF(B12=0,0,IF(C12&gt;9999,"",ROUND(IF(VLOOKUP(B12,Operations[],12,FALSE)=0,VLOOKUP(B12,Operations[],13,FALSE)*'General Variables'!$B$8,VLOOKUP(B12,Operations[],12,FALSE)*'General Variables'!$B$7)/VLOOKUP(B12,Operations[],9,FALSE)*C12,2)))</f>
        <v>0</v>
      </c>
      <c r="G12" s="227">
        <f>IF(B12=0,0,IF(C12&gt;9999,"",ROUND(VLOOKUP(VLOOKUP(B12,Operations[],11,FALSE),PowerUnits[],10,FALSE)/VLOOKUP(B12,Operations[],9,FALSE)*C12,2)))</f>
        <v>0</v>
      </c>
      <c r="H12" s="227" t="str">
        <f>IF(B12=0,"",IF(C12&gt;9999,"",ROUND(VLOOKUP($B12,Operations[],15,FALSE)*C12,2)))</f>
        <v/>
      </c>
      <c r="I12" s="227">
        <f>IF(B12=0,0,IF(C12&gt;9999,"",ROUND(VLOOKUP(VLOOKUP(B12,Operations[],11,FALSE),PowerUnits[],16,FALSE)/VLOOKUP(B12,Operations[],9,FALSE)*C12,2)))</f>
        <v>0</v>
      </c>
      <c r="J12" s="227" t="str">
        <f>IF(B12=0,"",IF(C12&gt;9999,"",ROUND(VLOOKUP($B12,Operations[],21,FALSE)*$C12,2)))</f>
        <v/>
      </c>
      <c r="K12" s="227">
        <f t="shared" si="0"/>
        <v>0</v>
      </c>
      <c r="L12" s="229"/>
    </row>
    <row r="13" spans="1:15" x14ac:dyDescent="0.2">
      <c r="A13" s="294">
        <v>4</v>
      </c>
      <c r="B13" s="273"/>
      <c r="C13" s="269"/>
      <c r="D13" s="275"/>
      <c r="E13" s="227" t="str">
        <f>IF(B13=0,"",IF(C13&gt;9999,"",ROUND('General Variables'!$B$4*VLOOKUP(B13,Operations[],10,FALSE)/VLOOKUP(B13,Operations[],9,FALSE)*C13,2)))</f>
        <v/>
      </c>
      <c r="F13" s="227">
        <f>IF(B13=0,0,IF(C13&gt;9999,"",ROUND(IF(VLOOKUP(B13,Operations[],12,FALSE)=0,VLOOKUP(B13,Operations[],13,FALSE)*'General Variables'!$B$8,VLOOKUP(B13,Operations[],12,FALSE)*'General Variables'!$B$7)/VLOOKUP(B13,Operations[],9,FALSE)*C13,2)))</f>
        <v>0</v>
      </c>
      <c r="G13" s="227">
        <f>IF(B13=0,0,IF(C13&gt;9999,"",ROUND(VLOOKUP(VLOOKUP(B13,Operations[],11,FALSE),PowerUnits[],10,FALSE)/VLOOKUP(B13,Operations[],9,FALSE)*C13,2)))</f>
        <v>0</v>
      </c>
      <c r="H13" s="227" t="str">
        <f>IF(B13=0,"",IF(C13&gt;9999,"",ROUND(VLOOKUP($B13,Operations[],15,FALSE)*C13,2)))</f>
        <v/>
      </c>
      <c r="I13" s="227">
        <f>IF(B13=0,0,IF(C13&gt;9999,"",ROUND(VLOOKUP(VLOOKUP(B13,Operations[],11,FALSE),PowerUnits[],16,FALSE)/VLOOKUP(B13,Operations[],9,FALSE)*C13,2)))</f>
        <v>0</v>
      </c>
      <c r="J13" s="227" t="str">
        <f>IF(B13=0,"",IF(C13&gt;9999,"",ROUND(VLOOKUP($B13,Operations[],21,FALSE)*$C13,2)))</f>
        <v/>
      </c>
      <c r="K13" s="227">
        <f t="shared" si="0"/>
        <v>0</v>
      </c>
      <c r="L13" s="229"/>
    </row>
    <row r="14" spans="1:15" x14ac:dyDescent="0.2">
      <c r="A14" s="294">
        <v>5</v>
      </c>
      <c r="B14" s="273"/>
      <c r="C14" s="269"/>
      <c r="D14" s="275"/>
      <c r="E14" s="227" t="str">
        <f>IF(B14=0,"",IF(C14&gt;9999,"",ROUND('General Variables'!$B$4*VLOOKUP(B14,Operations[],10,FALSE)/VLOOKUP(B14,Operations[],9,FALSE)*C14,2)))</f>
        <v/>
      </c>
      <c r="F14" s="227">
        <f>IF(B14=0,0,IF(C14&gt;9999,"",ROUND(IF(VLOOKUP(B14,Operations[],12,FALSE)=0,VLOOKUP(B14,Operations[],13,FALSE)*'General Variables'!$B$8,VLOOKUP(B14,Operations[],12,FALSE)*'General Variables'!$B$7)/VLOOKUP(B14,Operations[],9,FALSE)*C14,2)))</f>
        <v>0</v>
      </c>
      <c r="G14" s="227">
        <f>IF(B14=0,0,IF(C14&gt;9999,"",ROUND(VLOOKUP(VLOOKUP(B14,Operations[],11,FALSE),PowerUnits[],10,FALSE)/VLOOKUP(B14,Operations[],9,FALSE)*C14,2)))</f>
        <v>0</v>
      </c>
      <c r="H14" s="227" t="str">
        <f>IF(B14=0,"",IF(C14&gt;9999,"",ROUND(VLOOKUP($B14,Operations[],15,FALSE)*C14,2)))</f>
        <v/>
      </c>
      <c r="I14" s="227">
        <f>IF(B14=0,0,IF(C14&gt;9999,"",ROUND(VLOOKUP(VLOOKUP(B14,Operations[],11,FALSE),PowerUnits[],16,FALSE)/VLOOKUP(B14,Operations[],9,FALSE)*C14,2)))</f>
        <v>0</v>
      </c>
      <c r="J14" s="227" t="str">
        <f>IF(B14=0,"",IF(C14&gt;9999,"",ROUND(VLOOKUP($B14,Operations[],21,FALSE)*$C14,2)))</f>
        <v/>
      </c>
      <c r="K14" s="227">
        <f t="shared" si="0"/>
        <v>0</v>
      </c>
      <c r="L14" s="229"/>
    </row>
    <row r="15" spans="1:15" x14ac:dyDescent="0.2">
      <c r="A15" s="294">
        <v>6</v>
      </c>
      <c r="B15" s="273"/>
      <c r="C15" s="269"/>
      <c r="D15" s="275"/>
      <c r="E15" s="227" t="str">
        <f>IF(B15=0,"",IF(C15&gt;9999,"",ROUND('General Variables'!$B$4*VLOOKUP(B15,Operations[],10,FALSE)/VLOOKUP(B15,Operations[],9,FALSE)*C15,2)))</f>
        <v/>
      </c>
      <c r="F15" s="227">
        <f>IF(B15=0,0,IF(C15&gt;9999,"",ROUND(IF(VLOOKUP(B15,Operations[],12,FALSE)=0,VLOOKUP(B15,Operations[],13,FALSE)*'General Variables'!$B$8,VLOOKUP(B15,Operations[],12,FALSE)*'General Variables'!$B$7)/VLOOKUP(B15,Operations[],9,FALSE)*C15,2)))</f>
        <v>0</v>
      </c>
      <c r="G15" s="227">
        <f>IF(B15=0,0,IF(C15&gt;9999,"",ROUND(VLOOKUP(VLOOKUP(B15,Operations[],11,FALSE),PowerUnits[],10,FALSE)/VLOOKUP(B15,Operations[],9,FALSE)*C15,2)))</f>
        <v>0</v>
      </c>
      <c r="H15" s="227" t="str">
        <f>IF(B15=0,"",IF(C15&gt;9999,"",ROUND(VLOOKUP($B15,Operations[],15,FALSE)*C15,2)))</f>
        <v/>
      </c>
      <c r="I15" s="227">
        <f>IF(B15=0,0,IF(C15&gt;9999,"",ROUND(VLOOKUP(VLOOKUP(B15,Operations[],11,FALSE),PowerUnits[],16,FALSE)/VLOOKUP(B15,Operations[],9,FALSE)*C15,2)))</f>
        <v>0</v>
      </c>
      <c r="J15" s="227" t="str">
        <f>IF(B15=0,"",IF(C15&gt;9999,"",ROUND(VLOOKUP($B15,Operations[],21,FALSE)*$C15,2)))</f>
        <v/>
      </c>
      <c r="K15" s="227">
        <f t="shared" si="0"/>
        <v>0</v>
      </c>
      <c r="L15" s="229"/>
    </row>
    <row r="16" spans="1:15" x14ac:dyDescent="0.2">
      <c r="A16" s="294">
        <v>7</v>
      </c>
      <c r="B16" s="273"/>
      <c r="C16" s="269"/>
      <c r="D16" s="275"/>
      <c r="E16" s="227" t="str">
        <f>IF(B16=0,"",IF(C16&gt;9999,"",ROUND('General Variables'!$B$4*VLOOKUP(B16,Operations[],10,FALSE)/VLOOKUP(B16,Operations[],9,FALSE)*C16,2)))</f>
        <v/>
      </c>
      <c r="F16" s="227">
        <f>IF(B16=0,0,IF(C16&gt;9999,"",ROUND(IF(VLOOKUP(B16,Operations[],12,FALSE)=0,VLOOKUP(B16,Operations[],13,FALSE)*'General Variables'!$B$8,VLOOKUP(B16,Operations[],12,FALSE)*'General Variables'!$B$7)/VLOOKUP(B16,Operations[],9,FALSE)*C16,2)))</f>
        <v>0</v>
      </c>
      <c r="G16" s="227">
        <f>IF(B16=0,0,IF(C16&gt;9999,"",ROUND(VLOOKUP(VLOOKUP(B16,Operations[],11,FALSE),PowerUnits[],10,FALSE)/VLOOKUP(B16,Operations[],9,FALSE)*C16,2)))</f>
        <v>0</v>
      </c>
      <c r="H16" s="227" t="str">
        <f>IF(B16=0,"",IF(C16&gt;9999,"",ROUND(VLOOKUP($B16,Operations[],15,FALSE)*C16,2)))</f>
        <v/>
      </c>
      <c r="I16" s="227">
        <f>IF(B16=0,0,IF(C16&gt;9999,"",ROUND(VLOOKUP(VLOOKUP(B16,Operations[],11,FALSE),PowerUnits[],16,FALSE)/VLOOKUP(B16,Operations[],9,FALSE)*C16,2)))</f>
        <v>0</v>
      </c>
      <c r="J16" s="227" t="str">
        <f>IF(B16=0,"",IF(C16&gt;9999,"",ROUND(VLOOKUP($B16,Operations[],21,FALSE)*$C16,2)))</f>
        <v/>
      </c>
      <c r="K16" s="227">
        <f t="shared" si="0"/>
        <v>0</v>
      </c>
      <c r="L16" s="229"/>
    </row>
    <row r="17" spans="1:12" x14ac:dyDescent="0.2">
      <c r="A17" s="294">
        <v>8</v>
      </c>
      <c r="B17" s="273"/>
      <c r="C17" s="269"/>
      <c r="D17" s="275"/>
      <c r="E17" s="227" t="str">
        <f>IF(B17=0,"",IF(C17&gt;9999,"",ROUND('General Variables'!$B$4*VLOOKUP(B17,Operations[],10,FALSE)/VLOOKUP(B17,Operations[],9,FALSE)*C17,2)))</f>
        <v/>
      </c>
      <c r="F17" s="227">
        <f>IF(B17=0,0,IF(C17&gt;9999,"",ROUND(IF(VLOOKUP(B17,Operations[],12,FALSE)=0,VLOOKUP(B17,Operations[],13,FALSE)*'General Variables'!$B$8,VLOOKUP(B17,Operations[],12,FALSE)*'General Variables'!$B$7)/VLOOKUP(B17,Operations[],9,FALSE)*C17,2)))</f>
        <v>0</v>
      </c>
      <c r="G17" s="227">
        <f>IF(B17=0,0,IF(C17&gt;9999,"",ROUND(VLOOKUP(VLOOKUP(B17,Operations[],11,FALSE),PowerUnits[],10,FALSE)/VLOOKUP(B17,Operations[],9,FALSE)*C17,2)))</f>
        <v>0</v>
      </c>
      <c r="H17" s="227" t="str">
        <f>IF(B17=0,"",IF(C17&gt;9999,"",ROUND(VLOOKUP($B17,Operations[],15,FALSE)*C17,2)))</f>
        <v/>
      </c>
      <c r="I17" s="227">
        <f>IF(B17=0,0,IF(C17&gt;9999,"",ROUND(VLOOKUP(VLOOKUP(B17,Operations[],11,FALSE),PowerUnits[],16,FALSE)/VLOOKUP(B17,Operations[],9,FALSE)*C17,2)))</f>
        <v>0</v>
      </c>
      <c r="J17" s="227" t="str">
        <f>IF(B17=0,"",IF(C17&gt;9999,"",ROUND(VLOOKUP($B17,Operations[],21,FALSE)*$C17,2)))</f>
        <v/>
      </c>
      <c r="K17" s="227">
        <f>IF(C17&gt;9999,"",ROUND(SUM(E17:J17),2))</f>
        <v>0</v>
      </c>
      <c r="L17" s="229"/>
    </row>
    <row r="18" spans="1:12" x14ac:dyDescent="0.2">
      <c r="A18" s="294">
        <v>9</v>
      </c>
      <c r="B18" s="273"/>
      <c r="C18" s="269"/>
      <c r="D18" s="275"/>
      <c r="E18" s="227" t="str">
        <f>IF(B18=0,"",IF(C18&gt;9999,"",ROUND('General Variables'!$B$4*VLOOKUP(B18,Operations[],10,FALSE)/VLOOKUP(B18,Operations[],9,FALSE)*C18,2)))</f>
        <v/>
      </c>
      <c r="F18" s="227">
        <f>IF(B18=0,0,IF(C18&gt;9999,"",ROUND(IF(VLOOKUP(B18,Operations[],12,FALSE)=0,VLOOKUP(B18,Operations[],13,FALSE)*'General Variables'!$B$8,VLOOKUP(B18,Operations[],12,FALSE)*'General Variables'!$B$7)/VLOOKUP(B18,Operations[],9,FALSE)*C18,2)))</f>
        <v>0</v>
      </c>
      <c r="G18" s="227">
        <f>IF(B18=0,0,IF(C18&gt;9999,"",ROUND(VLOOKUP(VLOOKUP(B18,Operations[],11,FALSE),PowerUnits[],10,FALSE)/VLOOKUP(B18,Operations[],9,FALSE)*C18,2)))</f>
        <v>0</v>
      </c>
      <c r="H18" s="227" t="str">
        <f>IF(B18=0,"",IF(C18&gt;9999,"",ROUND(VLOOKUP($B18,Operations[],15,FALSE)*C18,2)))</f>
        <v/>
      </c>
      <c r="I18" s="227">
        <f>IF(B18=0,0,IF(C18&gt;9999,"",ROUND(VLOOKUP(VLOOKUP(B18,Operations[],11,FALSE),PowerUnits[],16,FALSE)/VLOOKUP(B18,Operations[],9,FALSE)*C18,2)))</f>
        <v>0</v>
      </c>
      <c r="J18" s="227" t="str">
        <f>IF(B18=0,"",IF(C18&gt;9999,"",ROUND(VLOOKUP($B18,Operations[],21,FALSE)*$C18,2)))</f>
        <v/>
      </c>
      <c r="K18" s="227">
        <f t="shared" si="0"/>
        <v>0</v>
      </c>
      <c r="L18" s="229"/>
    </row>
    <row r="19" spans="1:12" x14ac:dyDescent="0.2">
      <c r="A19" s="294">
        <v>10</v>
      </c>
      <c r="B19" s="273"/>
      <c r="C19" s="269"/>
      <c r="D19" s="275"/>
      <c r="E19" s="227" t="str">
        <f>IF(B19=0,"",IF(C19&gt;9999,"",ROUND('General Variables'!$B$4*VLOOKUP(B19,Operations[],10,FALSE)/VLOOKUP(B19,Operations[],9,FALSE)*C19,2)))</f>
        <v/>
      </c>
      <c r="F19" s="227">
        <f>IF(B19=0,0,IF(C19&gt;9999,"",ROUND(IF(VLOOKUP(B19,Operations[],12,FALSE)=0,VLOOKUP(B19,Operations[],13,FALSE)*'General Variables'!$B$8,VLOOKUP(B19,Operations[],12,FALSE)*'General Variables'!$B$7)/VLOOKUP(B19,Operations[],9,FALSE)*C19,2)))</f>
        <v>0</v>
      </c>
      <c r="G19" s="227">
        <f>IF(B19=0,0,IF(C19&gt;9999,"",ROUND(VLOOKUP(VLOOKUP(B19,Operations[],11,FALSE),PowerUnits[],10,FALSE)/VLOOKUP(B19,Operations[],9,FALSE)*C19,2)))</f>
        <v>0</v>
      </c>
      <c r="H19" s="227" t="str">
        <f>IF(B19=0,"",IF(C19&gt;9999,"",ROUND(VLOOKUP($B19,Operations[],15,FALSE)*C19,2)))</f>
        <v/>
      </c>
      <c r="I19" s="227">
        <f>IF(B19=0,0,IF(C19&gt;9999,"",ROUND(VLOOKUP(VLOOKUP(B19,Operations[],11,FALSE),PowerUnits[],16,FALSE)/VLOOKUP(B19,Operations[],9,FALSE)*C19,2)))</f>
        <v>0</v>
      </c>
      <c r="J19" s="227" t="str">
        <f>IF(B19=0,"",IF(C19&gt;9999,"",ROUND(VLOOKUP($B19,Operations[],21,FALSE)*$C19,2)))</f>
        <v/>
      </c>
      <c r="K19" s="227">
        <f t="shared" si="0"/>
        <v>0</v>
      </c>
      <c r="L19" s="229"/>
    </row>
    <row r="20" spans="1:12" x14ac:dyDescent="0.2">
      <c r="A20" s="294">
        <v>11</v>
      </c>
      <c r="B20" s="273"/>
      <c r="C20" s="269"/>
      <c r="D20" s="275"/>
      <c r="E20" s="227" t="str">
        <f>IF(B20=0,"",IF(C20&gt;9999,"",ROUND('General Variables'!$B$4*VLOOKUP(B20,Operations[],10,FALSE)/VLOOKUP(B20,Operations[],9,FALSE)*C20,2)))</f>
        <v/>
      </c>
      <c r="F20" s="227">
        <f>IF(B20=0,0,IF(C20&gt;9999,"",ROUND(IF(VLOOKUP(B20,Operations[],12,FALSE)=0,VLOOKUP(B20,Operations[],13,FALSE)*'General Variables'!$B$8,VLOOKUP(B20,Operations[],12,FALSE)*'General Variables'!$B$7)/VLOOKUP(B20,Operations[],9,FALSE)*C20,2)))</f>
        <v>0</v>
      </c>
      <c r="G20" s="227">
        <f>IF(B20=0,0,IF(C20&gt;9999,"",ROUND(VLOOKUP(VLOOKUP(B20,Operations[],11,FALSE),PowerUnits[],10,FALSE)/VLOOKUP(B20,Operations[],9,FALSE)*C20,2)))</f>
        <v>0</v>
      </c>
      <c r="H20" s="227" t="str">
        <f>IF(B20=0,"",IF(C20&gt;9999,"",ROUND(VLOOKUP($B20,Operations[],15,FALSE)*C20,2)))</f>
        <v/>
      </c>
      <c r="I20" s="227">
        <f>IF(B20=0,0,IF(C20&gt;9999,"",ROUND(VLOOKUP(VLOOKUP(B20,Operations[],11,FALSE),PowerUnits[],16,FALSE)/VLOOKUP(B20,Operations[],9,FALSE)*C20,2)))</f>
        <v>0</v>
      </c>
      <c r="J20" s="227" t="str">
        <f>IF(B20=0,"",IF(C20&gt;9999,"",ROUND(VLOOKUP($B20,Operations[],21,FALSE)*$C20,2)))</f>
        <v/>
      </c>
      <c r="K20" s="227">
        <f t="shared" si="0"/>
        <v>0</v>
      </c>
      <c r="L20" s="229"/>
    </row>
    <row r="21" spans="1:12" x14ac:dyDescent="0.2">
      <c r="A21" s="294">
        <v>12</v>
      </c>
      <c r="B21" s="273"/>
      <c r="C21" s="269"/>
      <c r="D21" s="275"/>
      <c r="E21" s="227" t="str">
        <f>IF(B21=0,"",IF(C21&gt;9999,"",ROUND('General Variables'!$B$4*VLOOKUP(B21,Operations[],10,FALSE)/VLOOKUP(B21,Operations[],9,FALSE)*C21,2)))</f>
        <v/>
      </c>
      <c r="F21" s="227">
        <f>IF(B21=0,0,IF(C21&gt;9999,"",ROUND(IF(VLOOKUP(B21,Operations[],12,FALSE)=0,VLOOKUP(B21,Operations[],13,FALSE)*'General Variables'!$B$8,VLOOKUP(B21,Operations[],12,FALSE)*'General Variables'!$B$7)/VLOOKUP(B21,Operations[],9,FALSE)*C21,2)))</f>
        <v>0</v>
      </c>
      <c r="G21" s="227">
        <f>IF(B21=0,0,IF(C21&gt;9999,"",ROUND(VLOOKUP(VLOOKUP(B21,Operations[],11,FALSE),PowerUnits[],10,FALSE)/VLOOKUP(B21,Operations[],9,FALSE)*C21,2)))</f>
        <v>0</v>
      </c>
      <c r="H21" s="227" t="str">
        <f>IF(B21=0,"",IF(C21&gt;9999,"",ROUND(VLOOKUP($B21,Operations[],15,FALSE)*C21,2)))</f>
        <v/>
      </c>
      <c r="I21" s="227">
        <f>IF(B21=0,0,IF(C21&gt;9999,"",ROUND(VLOOKUP(VLOOKUP(B21,Operations[],11,FALSE),PowerUnits[],16,FALSE)/VLOOKUP(B21,Operations[],9,FALSE)*C21,2)))</f>
        <v>0</v>
      </c>
      <c r="J21" s="227" t="str">
        <f>IF(B21=0,"",IF(C21&gt;9999,"",ROUND(VLOOKUP($B21,Operations[],21,FALSE)*$C21,2)))</f>
        <v/>
      </c>
      <c r="K21" s="227">
        <f t="shared" si="0"/>
        <v>0</v>
      </c>
      <c r="L21" s="229"/>
    </row>
    <row r="22" spans="1:12" x14ac:dyDescent="0.2">
      <c r="A22" s="294">
        <v>13</v>
      </c>
      <c r="B22" s="273"/>
      <c r="C22" s="269"/>
      <c r="D22" s="275"/>
      <c r="E22" s="227" t="str">
        <f>IF(B22=0,"",IF(C22&gt;9999,"",ROUND('General Variables'!$B$4*VLOOKUP(B22,Operations[],10,FALSE)/VLOOKUP(B22,Operations[],9,FALSE)*C22,2)))</f>
        <v/>
      </c>
      <c r="F22" s="227">
        <f>IF(B22=0,0,IF(C22&gt;9999,"",ROUND(IF(VLOOKUP(B22,Operations[],12,FALSE)=0,VLOOKUP(B22,Operations[],13,FALSE)*'General Variables'!$B$8,VLOOKUP(B22,Operations[],12,FALSE)*'General Variables'!$B$7)/VLOOKUP(B22,Operations[],9,FALSE)*C22,2)))</f>
        <v>0</v>
      </c>
      <c r="G22" s="227">
        <f>IF(B22=0,0,IF(C22&gt;9999,"",ROUND(VLOOKUP(VLOOKUP(B22,Operations[],11,FALSE),PowerUnits[],10,FALSE)/VLOOKUP(B22,Operations[],9,FALSE)*C22,2)))</f>
        <v>0</v>
      </c>
      <c r="H22" s="227" t="str">
        <f>IF(B22=0,"",IF(C22&gt;9999,"",ROUND(VLOOKUP($B22,Operations[],15,FALSE)*C22,2)))</f>
        <v/>
      </c>
      <c r="I22" s="227">
        <f>IF(B22=0,0,IF(C22&gt;9999,"",ROUND(VLOOKUP(VLOOKUP(B22,Operations[],11,FALSE),PowerUnits[],16,FALSE)/VLOOKUP(B22,Operations[],9,FALSE)*C22,2)))</f>
        <v>0</v>
      </c>
      <c r="J22" s="227" t="str">
        <f>IF(B22=0,"",IF(C22&gt;9999,"",ROUND(VLOOKUP($B22,Operations[],21,FALSE)*$C22,2)))</f>
        <v/>
      </c>
      <c r="K22" s="227">
        <f t="shared" si="0"/>
        <v>0</v>
      </c>
      <c r="L22" s="229"/>
    </row>
    <row r="23" spans="1:12" x14ac:dyDescent="0.2">
      <c r="A23" s="294">
        <v>14</v>
      </c>
      <c r="B23" s="274"/>
      <c r="C23" s="270"/>
      <c r="D23" s="275"/>
      <c r="E23" s="227" t="str">
        <f>IF(B23=0,"",IF(C23&gt;9999,"",ROUND('General Variables'!$B$4*VLOOKUP(B23,Operations[],10,FALSE)/VLOOKUP(B23,Operations[],9,FALSE)*C23,2)))</f>
        <v/>
      </c>
      <c r="F23" s="227">
        <f>IF(B23=0,0,IF(C23&gt;9999,"",ROUND(IF(VLOOKUP(B23,Operations[],12,FALSE)=0,VLOOKUP(B23,Operations[],13,FALSE)*'General Variables'!$B$8,VLOOKUP(B23,Operations[],12,FALSE)*'General Variables'!$B$7)/VLOOKUP(B23,Operations[],9,FALSE)*C23,2)))</f>
        <v>0</v>
      </c>
      <c r="G23" s="227">
        <f>IF(B23=0,0,IF(C23&gt;9999,"",ROUND(VLOOKUP(VLOOKUP(B23,Operations[],11,FALSE),PowerUnits[],10,FALSE)/VLOOKUP(B23,Operations[],9,FALSE)*C23,2)))</f>
        <v>0</v>
      </c>
      <c r="H23" s="227" t="str">
        <f>IF(B23=0,"",IF(C23&gt;9999,"",ROUND(VLOOKUP($B23,Operations[],15,FALSE)*C23,2)))</f>
        <v/>
      </c>
      <c r="I23" s="227">
        <f>IF(B23=0,0,IF(C23&gt;9999,"",ROUND(VLOOKUP(VLOOKUP(B23,Operations[],11,FALSE),PowerUnits[],16,FALSE)/VLOOKUP(B23,Operations[],9,FALSE)*C23,2)))</f>
        <v>0</v>
      </c>
      <c r="J23" s="227" t="str">
        <f>IF(B23=0,"",IF(C23&gt;9999,"",ROUND(VLOOKUP($B23,Operations[],21,FALSE)*$C23,2)))</f>
        <v/>
      </c>
      <c r="K23" s="227">
        <f t="shared" si="0"/>
        <v>0</v>
      </c>
      <c r="L23" s="229"/>
    </row>
    <row r="24" spans="1:12" x14ac:dyDescent="0.2">
      <c r="A24" s="294">
        <v>15</v>
      </c>
      <c r="B24" s="274"/>
      <c r="C24" s="270"/>
      <c r="D24" s="275"/>
      <c r="E24" s="227" t="str">
        <f>IF(B24=0,"",IF(C24&gt;9999,"",ROUND('General Variables'!$B$4*VLOOKUP(B24,Operations[],10,FALSE)/VLOOKUP(B24,Operations[],9,FALSE)*C24,2)))</f>
        <v/>
      </c>
      <c r="F24" s="227">
        <f>IF(B24=0,0,IF(C24&gt;9999,"",ROUND(IF(VLOOKUP(B24,Operations[],12,FALSE)=0,VLOOKUP(B24,Operations[],13,FALSE)*'General Variables'!$B$8,VLOOKUP(B24,Operations[],12,FALSE)*'General Variables'!$B$7)/VLOOKUP(B24,Operations[],9,FALSE)*C24,2)))</f>
        <v>0</v>
      </c>
      <c r="G24" s="227">
        <f>IF(B24=0,0,IF(C24&gt;9999,"",ROUND(VLOOKUP(VLOOKUP(B24,Operations[],11,FALSE),PowerUnits[],10,FALSE)/VLOOKUP(B24,Operations[],9,FALSE)*C24,2)))</f>
        <v>0</v>
      </c>
      <c r="H24" s="227" t="str">
        <f>IF(B24=0,"",IF(C24&gt;9999,"",ROUND(VLOOKUP($B24,Operations[],15,FALSE)*C24,2)))</f>
        <v/>
      </c>
      <c r="I24" s="227">
        <f>IF(B24=0,0,IF(C24&gt;9999,"",ROUND(VLOOKUP(VLOOKUP(B24,Operations[],11,FALSE),PowerUnits[],16,FALSE)/VLOOKUP(B24,Operations[],9,FALSE)*C24,2)))</f>
        <v>0</v>
      </c>
      <c r="J24" s="227" t="str">
        <f>IF(B24=0,"",IF(C24&gt;9999,"",ROUND(VLOOKUP($B24,Operations[],21,FALSE)*$C24,2)))</f>
        <v/>
      </c>
      <c r="K24" s="227">
        <f t="shared" si="0"/>
        <v>0</v>
      </c>
      <c r="L24" s="229"/>
    </row>
    <row r="25" spans="1:12" x14ac:dyDescent="0.2">
      <c r="A25" s="294">
        <v>16</v>
      </c>
      <c r="B25" s="274"/>
      <c r="C25" s="270"/>
      <c r="D25" s="275"/>
      <c r="E25" s="227" t="str">
        <f>IF(B25=0,"",IF(C25&gt;9999,"",ROUND('General Variables'!$B$4*VLOOKUP(B25,Operations[],10,FALSE)/VLOOKUP(B25,Operations[],9,FALSE)*C25,2)))</f>
        <v/>
      </c>
      <c r="F25" s="227">
        <f>IF(B25=0,0,IF(C25&gt;9999,"",ROUND(IF(VLOOKUP(B25,Operations[],12,FALSE)=0,VLOOKUP(B25,Operations[],13,FALSE)*'General Variables'!$B$8,VLOOKUP(B25,Operations[],12,FALSE)*'General Variables'!$B$7)/VLOOKUP(B25,Operations[],9,FALSE)*C25,2)))</f>
        <v>0</v>
      </c>
      <c r="G25" s="227">
        <f>IF(B25=0,0,IF(C25&gt;9999,"",ROUND(VLOOKUP(VLOOKUP(B25,Operations[],11,FALSE),PowerUnits[],10,FALSE)/VLOOKUP(B25,Operations[],9,FALSE)*C25,2)))</f>
        <v>0</v>
      </c>
      <c r="H25" s="227" t="str">
        <f>IF(B25=0,"",IF(C25&gt;9999,"",ROUND(VLOOKUP($B25,Operations[],15,FALSE)*C25,2)))</f>
        <v/>
      </c>
      <c r="I25" s="227">
        <f>IF(B25=0,0,IF(C25&gt;9999,"",ROUND(VLOOKUP(VLOOKUP(B25,Operations[],11,FALSE),PowerUnits[],16,FALSE)/VLOOKUP(B25,Operations[],9,FALSE)*C25,2)))</f>
        <v>0</v>
      </c>
      <c r="J25" s="227" t="str">
        <f>IF(B25=0,"",IF(C25&gt;9999,"",ROUND(VLOOKUP($B25,Operations[],21,FALSE)*$C25,2)))</f>
        <v/>
      </c>
      <c r="K25" s="227">
        <f t="shared" si="0"/>
        <v>0</v>
      </c>
      <c r="L25" s="229"/>
    </row>
    <row r="26" spans="1:12" x14ac:dyDescent="0.2">
      <c r="A26" s="294">
        <v>17</v>
      </c>
      <c r="B26" s="274"/>
      <c r="C26" s="270"/>
      <c r="D26" s="275"/>
      <c r="E26" s="227" t="str">
        <f>IF(B26=0,"",IF(C26&gt;9999,"",ROUND('General Variables'!$B$4*VLOOKUP(B26,Operations[],10,FALSE)/VLOOKUP(B26,Operations[],9,FALSE)*C26,2)))</f>
        <v/>
      </c>
      <c r="F26" s="227">
        <f>IF(B26=0,0,IF(C26&gt;9999,"",ROUND(IF(VLOOKUP(B26,Operations[],12,FALSE)=0,VLOOKUP(B26,Operations[],13,FALSE)*'General Variables'!$B$8,VLOOKUP(B26,Operations[],12,FALSE)*'General Variables'!$B$7)/VLOOKUP(B26,Operations[],9,FALSE)*C26,2)))</f>
        <v>0</v>
      </c>
      <c r="G26" s="227">
        <f>IF(B26=0,0,IF(C26&gt;9999,"",ROUND(VLOOKUP(VLOOKUP(B26,Operations[],11,FALSE),PowerUnits[],10,FALSE)/VLOOKUP(B26,Operations[],9,FALSE)*C26,2)))</f>
        <v>0</v>
      </c>
      <c r="H26" s="227" t="str">
        <f>IF(B26=0,"",IF(C26&gt;9999,"",ROUND(VLOOKUP($B26,Operations[],15,FALSE)*C26,2)))</f>
        <v/>
      </c>
      <c r="I26" s="227">
        <f>IF(B26=0,0,IF(C26&gt;9999,"",ROUND(VLOOKUP(VLOOKUP(B26,Operations[],11,FALSE),PowerUnits[],16,FALSE)/VLOOKUP(B26,Operations[],9,FALSE)*C26,2)))</f>
        <v>0</v>
      </c>
      <c r="J26" s="227" t="str">
        <f>IF(B26=0,"",IF(C26&gt;9999,"",ROUND(VLOOKUP($B26,Operations[],21,FALSE)*$C26,2)))</f>
        <v/>
      </c>
      <c r="K26" s="227">
        <f t="shared" si="0"/>
        <v>0</v>
      </c>
      <c r="L26" s="229"/>
    </row>
    <row r="27" spans="1:12" x14ac:dyDescent="0.2">
      <c r="A27" s="294">
        <v>18</v>
      </c>
      <c r="B27" s="274"/>
      <c r="C27" s="270"/>
      <c r="D27" s="275"/>
      <c r="E27" s="227" t="str">
        <f>IF(B27=0,"",IF(C27&gt;9999,"",ROUND('General Variables'!$B$4*VLOOKUP(B27,Operations[],10,FALSE)/VLOOKUP(B27,Operations[],9,FALSE)*C27,2)))</f>
        <v/>
      </c>
      <c r="F27" s="227">
        <f>IF(B27=0,0,IF(C27&gt;9999,"",ROUND(IF(VLOOKUP(B27,Operations[],12,FALSE)=0,VLOOKUP(B27,Operations[],13,FALSE)*'General Variables'!$B$8,VLOOKUP(B27,Operations[],12,FALSE)*'General Variables'!$B$7)/VLOOKUP(B27,Operations[],9,FALSE)*C27,2)))</f>
        <v>0</v>
      </c>
      <c r="G27" s="227">
        <f>IF(B27=0,0,IF(C27&gt;9999,"",ROUND(VLOOKUP(VLOOKUP(B27,Operations[],11,FALSE),PowerUnits[],10,FALSE)/VLOOKUP(B27,Operations[],9,FALSE)*C27,2)))</f>
        <v>0</v>
      </c>
      <c r="H27" s="227" t="str">
        <f>IF(B27=0,"",IF(C27&gt;9999,"",ROUND(VLOOKUP($B27,Operations[],15,FALSE)*C27,2)))</f>
        <v/>
      </c>
      <c r="I27" s="227">
        <f>IF(B27=0,0,IF(C27&gt;9999,"",ROUND(VLOOKUP(VLOOKUP(B27,Operations[],11,FALSE),PowerUnits[],16,FALSE)/VLOOKUP(B27,Operations[],9,FALSE)*C27,2)))</f>
        <v>0</v>
      </c>
      <c r="J27" s="227" t="str">
        <f>IF(B27=0,"",IF(C27&gt;9999,"",ROUND(VLOOKUP($B27,Operations[],21,FALSE)*$C27,2)))</f>
        <v/>
      </c>
      <c r="K27" s="227">
        <f t="shared" si="0"/>
        <v>0</v>
      </c>
      <c r="L27" s="229"/>
    </row>
    <row r="28" spans="1:12" x14ac:dyDescent="0.2">
      <c r="A28" s="294">
        <v>19</v>
      </c>
      <c r="B28" s="274"/>
      <c r="C28" s="270"/>
      <c r="D28" s="275"/>
      <c r="E28" s="227" t="str">
        <f>IF(B28=0,"",IF(C28&gt;9999,"",ROUND('General Variables'!$B$4*VLOOKUP(B28,Operations[],10,FALSE)/VLOOKUP(B28,Operations[],9,FALSE)*C28,2)))</f>
        <v/>
      </c>
      <c r="F28" s="227">
        <f>IF(B28=0,0,IF(C28&gt;9999,"",ROUND(IF(VLOOKUP(B28,Operations[],12,FALSE)=0,VLOOKUP(B28,Operations[],13,FALSE)*'General Variables'!$B$8,VLOOKUP(B28,Operations[],12,FALSE)*'General Variables'!$B$7)/VLOOKUP(B28,Operations[],9,FALSE)*C28,2)))</f>
        <v>0</v>
      </c>
      <c r="G28" s="227">
        <f>IF(B28=0,0,IF(C28&gt;9999,"",ROUND(VLOOKUP(VLOOKUP(B28,Operations[],11,FALSE),PowerUnits[],10,FALSE)/VLOOKUP(B28,Operations[],9,FALSE)*C28,2)))</f>
        <v>0</v>
      </c>
      <c r="H28" s="227" t="str">
        <f>IF(B28=0,"",IF(C28&gt;9999,"",ROUND(VLOOKUP($B28,Operations[],15,FALSE)*C28,2)))</f>
        <v/>
      </c>
      <c r="I28" s="227">
        <f>IF(B28=0,0,IF(C28&gt;9999,"",ROUND(VLOOKUP(VLOOKUP(B28,Operations[],11,FALSE),PowerUnits[],16,FALSE)/VLOOKUP(B28,Operations[],9,FALSE)*C28,2)))</f>
        <v>0</v>
      </c>
      <c r="J28" s="227" t="str">
        <f>IF(B28=0,"",IF(C28&gt;9999,"",ROUND(VLOOKUP($B28,Operations[],21,FALSE)*$C28,2)))</f>
        <v/>
      </c>
      <c r="K28" s="227">
        <f t="shared" si="0"/>
        <v>0</v>
      </c>
      <c r="L28" s="247"/>
    </row>
    <row r="29" spans="1:12" x14ac:dyDescent="0.2">
      <c r="A29" s="294">
        <v>20</v>
      </c>
      <c r="B29" s="274"/>
      <c r="C29" s="270"/>
      <c r="D29" s="275"/>
      <c r="E29" s="227" t="str">
        <f>IF(B29=0,"",IF(C29&gt;9999,"",ROUND('General Variables'!$B$4*VLOOKUP(B29,Operations[],10,FALSE)/VLOOKUP(B29,Operations[],9,FALSE)*C29,2)))</f>
        <v/>
      </c>
      <c r="F29" s="227">
        <f>IF(B29=0,0,IF(C29&gt;9999,"",ROUND(IF(VLOOKUP(B29,Operations[],12,FALSE)=0,VLOOKUP(B29,Operations[],13,FALSE)*'General Variables'!$B$8,VLOOKUP(B29,Operations[],12,FALSE)*'General Variables'!$B$7)/VLOOKUP(B29,Operations[],9,FALSE)*C29,2)))</f>
        <v>0</v>
      </c>
      <c r="G29" s="227">
        <f>IF(B29=0,0,IF(C29&gt;9999,"",ROUND(VLOOKUP(VLOOKUP(B29,Operations[],11,FALSE),PowerUnits[],10,FALSE)/VLOOKUP(B29,Operations[],9,FALSE)*C29,2)))</f>
        <v>0</v>
      </c>
      <c r="H29" s="227" t="str">
        <f>IF(B29=0,"",IF(C29&gt;9999,"",ROUND(VLOOKUP($B29,Operations[],15,FALSE)*C29,2)))</f>
        <v/>
      </c>
      <c r="I29" s="227">
        <f>IF(B29=0,0,IF(C29&gt;9999,"",ROUND(VLOOKUP(VLOOKUP(B29,Operations[],11,FALSE),PowerUnits[],16,FALSE)/VLOOKUP(B29,Operations[],9,FALSE)*C29,2)))</f>
        <v>0</v>
      </c>
      <c r="J29" s="227" t="str">
        <f>IF(B29=0,"",IF(C29&gt;9999,"",ROUND(VLOOKUP($B29,Operations[],21,FALSE)*$C29,2)))</f>
        <v/>
      </c>
      <c r="K29" s="227">
        <f t="shared" si="0"/>
        <v>0</v>
      </c>
      <c r="L29" s="264"/>
    </row>
    <row r="30" spans="1:12" ht="3" customHeight="1" thickBot="1" x14ac:dyDescent="0.25">
      <c r="A30" s="294"/>
      <c r="B30" s="248"/>
      <c r="C30" s="249"/>
      <c r="D30" s="249"/>
      <c r="E30" s="221"/>
      <c r="F30" s="221"/>
      <c r="G30" s="221"/>
      <c r="H30" s="221"/>
      <c r="I30" s="221"/>
      <c r="J30" s="221"/>
      <c r="K30" s="221"/>
      <c r="L30" s="245"/>
    </row>
    <row r="31" spans="1:12" ht="13.5" thickTop="1" x14ac:dyDescent="0.2">
      <c r="C31" s="218" t="s">
        <v>83</v>
      </c>
      <c r="D31" s="218"/>
      <c r="E31" s="256">
        <f>SUM(E10:E29)</f>
        <v>0</v>
      </c>
      <c r="F31" s="256">
        <f t="shared" ref="F31:K31" si="1">SUM(F10:F29)</f>
        <v>0</v>
      </c>
      <c r="G31" s="256">
        <f t="shared" si="1"/>
        <v>0</v>
      </c>
      <c r="H31" s="256">
        <f t="shared" si="1"/>
        <v>0</v>
      </c>
      <c r="I31" s="256">
        <f t="shared" si="1"/>
        <v>0</v>
      </c>
      <c r="J31" s="256">
        <f t="shared" si="1"/>
        <v>0</v>
      </c>
      <c r="K31" s="256">
        <f t="shared" si="1"/>
        <v>0</v>
      </c>
      <c r="L31" s="229"/>
    </row>
    <row r="33" spans="1:12" ht="24" customHeight="1" thickBot="1" x14ac:dyDescent="0.25">
      <c r="B33" s="264"/>
      <c r="C33" s="264"/>
      <c r="D33" s="264"/>
      <c r="E33" s="264"/>
      <c r="F33" s="316" t="s">
        <v>97</v>
      </c>
      <c r="G33" s="316" t="s">
        <v>94</v>
      </c>
      <c r="H33" s="317" t="s">
        <v>98</v>
      </c>
      <c r="I33" s="317"/>
      <c r="J33" s="316" t="s">
        <v>69</v>
      </c>
      <c r="L33" s="317" t="s">
        <v>402</v>
      </c>
    </row>
    <row r="34" spans="1:12" s="220" customFormat="1" ht="14.25" thickTop="1" thickBot="1" x14ac:dyDescent="0.25">
      <c r="B34" s="219" t="s">
        <v>93</v>
      </c>
      <c r="C34" s="292"/>
      <c r="D34" s="292"/>
      <c r="E34" s="292"/>
      <c r="F34" s="316"/>
      <c r="G34" s="316"/>
      <c r="H34" s="292" t="s">
        <v>99</v>
      </c>
      <c r="I34" s="292" t="s">
        <v>77</v>
      </c>
      <c r="J34" s="316"/>
      <c r="K34" s="292" t="s">
        <v>95</v>
      </c>
      <c r="L34" s="316"/>
    </row>
    <row r="35" spans="1:12" ht="13.5" thickTop="1" x14ac:dyDescent="0.2">
      <c r="A35" s="228"/>
      <c r="B35" s="273"/>
      <c r="C35" s="314" t="str">
        <f>IF(B35=0,"",VLOOKUP($B35,Materials[],2,FALSE))</f>
        <v/>
      </c>
      <c r="D35" s="314"/>
      <c r="E35" s="314"/>
      <c r="F35" s="269"/>
      <c r="G35" s="271"/>
      <c r="H35" s="286"/>
      <c r="I35" s="222" t="str">
        <f>IF($B35=0,"",VLOOKUP($B35,Materials[],5,FALSE))</f>
        <v/>
      </c>
      <c r="J35" s="224" t="str">
        <f>IF($B35=0,"",VLOOKUP($B35,Materials[],7,FALSE))</f>
        <v/>
      </c>
      <c r="K35" s="256">
        <f>IF(B35=0,0,ROUND(G35*H35*J35,2))</f>
        <v>0</v>
      </c>
      <c r="L35" s="229"/>
    </row>
    <row r="36" spans="1:12" x14ac:dyDescent="0.2">
      <c r="A36" s="228"/>
      <c r="B36" s="273"/>
      <c r="C36" s="314" t="str">
        <f>IF(B36=0,"",VLOOKUP($B36,Materials[],2,FALSE))</f>
        <v/>
      </c>
      <c r="D36" s="314"/>
      <c r="E36" s="314"/>
      <c r="F36" s="269"/>
      <c r="G36" s="271"/>
      <c r="H36" s="286"/>
      <c r="I36" s="222" t="str">
        <f>IF($B36=0,"",VLOOKUP($B36,Materials[],5,FALSE))</f>
        <v/>
      </c>
      <c r="J36" s="224" t="str">
        <f>IF($B36=0,"",VLOOKUP($B36,Materials[],7,FALSE))</f>
        <v/>
      </c>
      <c r="K36" s="256">
        <f t="shared" ref="K36:K53" si="2">IF(B36=0,0,ROUND(G36*H36*J36,2))</f>
        <v>0</v>
      </c>
      <c r="L36" s="229"/>
    </row>
    <row r="37" spans="1:12" x14ac:dyDescent="0.2">
      <c r="A37" s="228"/>
      <c r="B37" s="273"/>
      <c r="C37" s="314" t="str">
        <f>IF(B37=0,"",VLOOKUP($B37,Materials[],2,FALSE))</f>
        <v/>
      </c>
      <c r="D37" s="314"/>
      <c r="E37" s="314"/>
      <c r="F37" s="269"/>
      <c r="G37" s="271"/>
      <c r="H37" s="286"/>
      <c r="I37" s="222" t="str">
        <f>IF($B37=0,"",VLOOKUP($B37,Materials[],5,FALSE))</f>
        <v/>
      </c>
      <c r="J37" s="224" t="str">
        <f>IF($B37=0,"",VLOOKUP($B37,Materials[],7,FALSE))</f>
        <v/>
      </c>
      <c r="K37" s="256">
        <f t="shared" si="2"/>
        <v>0</v>
      </c>
      <c r="L37" s="229"/>
    </row>
    <row r="38" spans="1:12" x14ac:dyDescent="0.2">
      <c r="A38" s="228"/>
      <c r="B38" s="273"/>
      <c r="C38" s="314" t="str">
        <f>IF(B38=0,"",VLOOKUP($B38,Materials[],2,FALSE))</f>
        <v/>
      </c>
      <c r="D38" s="314"/>
      <c r="E38" s="314"/>
      <c r="F38" s="269"/>
      <c r="G38" s="271"/>
      <c r="H38" s="286"/>
      <c r="I38" s="222" t="str">
        <f>IF($B38=0,"",VLOOKUP($B38,Materials[],5,FALSE))</f>
        <v/>
      </c>
      <c r="J38" s="224" t="str">
        <f>IF($B38=0,"",VLOOKUP($B38,Materials[],7,FALSE))</f>
        <v/>
      </c>
      <c r="K38" s="256">
        <f t="shared" si="2"/>
        <v>0</v>
      </c>
      <c r="L38" s="229"/>
    </row>
    <row r="39" spans="1:12" x14ac:dyDescent="0.2">
      <c r="A39" s="228"/>
      <c r="B39" s="273"/>
      <c r="C39" s="314" t="str">
        <f>IF(B39=0,"",VLOOKUP($B39,Materials[],2,FALSE))</f>
        <v/>
      </c>
      <c r="D39" s="314"/>
      <c r="E39" s="314"/>
      <c r="F39" s="269"/>
      <c r="G39" s="271"/>
      <c r="H39" s="287"/>
      <c r="I39" s="222" t="str">
        <f>IF($B39=0,"",VLOOKUP($B39,Materials[],5,FALSE))</f>
        <v/>
      </c>
      <c r="J39" s="224" t="str">
        <f>IF($B39=0,"",VLOOKUP($B39,Materials[],7,FALSE))</f>
        <v/>
      </c>
      <c r="K39" s="256">
        <f t="shared" si="2"/>
        <v>0</v>
      </c>
      <c r="L39" s="229"/>
    </row>
    <row r="40" spans="1:12" x14ac:dyDescent="0.2">
      <c r="A40" s="228"/>
      <c r="B40" s="273"/>
      <c r="C40" s="314" t="str">
        <f>IF(B40=0,"",VLOOKUP($B40,Materials[],2,FALSE))</f>
        <v/>
      </c>
      <c r="D40" s="314"/>
      <c r="E40" s="314"/>
      <c r="F40" s="269"/>
      <c r="G40" s="271"/>
      <c r="H40" s="287"/>
      <c r="I40" s="222" t="str">
        <f>IF($B40=0,"",VLOOKUP($B40,Materials[],5,FALSE))</f>
        <v/>
      </c>
      <c r="J40" s="224" t="str">
        <f>IF($B40=0,"",VLOOKUP($B40,Materials[],7,FALSE))</f>
        <v/>
      </c>
      <c r="K40" s="256">
        <f t="shared" si="2"/>
        <v>0</v>
      </c>
      <c r="L40" s="229"/>
    </row>
    <row r="41" spans="1:12" x14ac:dyDescent="0.2">
      <c r="A41" s="239"/>
      <c r="B41" s="273"/>
      <c r="C41" s="314" t="str">
        <f>IF(B41=0,"",VLOOKUP($B41,Materials[],2,FALSE))</f>
        <v/>
      </c>
      <c r="D41" s="314"/>
      <c r="E41" s="314"/>
      <c r="F41" s="269"/>
      <c r="G41" s="271"/>
      <c r="H41" s="286"/>
      <c r="I41" s="222" t="str">
        <f>IF($B41=0,"",VLOOKUP($B41,Materials[],5,FALSE))</f>
        <v/>
      </c>
      <c r="J41" s="224" t="str">
        <f>IF($B41=0,"",VLOOKUP($B41,Materials[],7,FALSE))</f>
        <v/>
      </c>
      <c r="K41" s="256">
        <f t="shared" si="2"/>
        <v>0</v>
      </c>
      <c r="L41" s="229"/>
    </row>
    <row r="42" spans="1:12" x14ac:dyDescent="0.2">
      <c r="A42" s="239"/>
      <c r="B42" s="273"/>
      <c r="C42" s="314" t="str">
        <f>IF(B42=0,"",VLOOKUP($B42,Materials[],2,FALSE))</f>
        <v/>
      </c>
      <c r="D42" s="314"/>
      <c r="E42" s="314"/>
      <c r="F42" s="269"/>
      <c r="G42" s="271"/>
      <c r="H42" s="286"/>
      <c r="I42" s="222" t="str">
        <f>IF($B42=0,"",VLOOKUP($B42,Materials[],5,FALSE))</f>
        <v/>
      </c>
      <c r="J42" s="224" t="str">
        <f>IF($B42=0,"",VLOOKUP($B42,Materials[],7,FALSE))</f>
        <v/>
      </c>
      <c r="K42" s="256">
        <f t="shared" si="2"/>
        <v>0</v>
      </c>
      <c r="L42" s="229"/>
    </row>
    <row r="43" spans="1:12" x14ac:dyDescent="0.2">
      <c r="A43" s="239"/>
      <c r="B43" s="273"/>
      <c r="C43" s="314" t="str">
        <f>IF(B43=0,"",VLOOKUP($B43,Materials[],2,FALSE))</f>
        <v/>
      </c>
      <c r="D43" s="314"/>
      <c r="E43" s="314"/>
      <c r="F43" s="269"/>
      <c r="G43" s="271"/>
      <c r="H43" s="286"/>
      <c r="I43" s="222" t="str">
        <f>IF($B43=0,"",VLOOKUP($B43,Materials[],5,FALSE))</f>
        <v/>
      </c>
      <c r="J43" s="224" t="str">
        <f>IF($B43=0,"",VLOOKUP($B43,Materials[],7,FALSE))</f>
        <v/>
      </c>
      <c r="K43" s="256">
        <f t="shared" si="2"/>
        <v>0</v>
      </c>
      <c r="L43" s="229"/>
    </row>
    <row r="44" spans="1:12" x14ac:dyDescent="0.2">
      <c r="A44" s="239"/>
      <c r="B44" s="273"/>
      <c r="C44" s="314" t="str">
        <f>IF(B44=0,"",VLOOKUP($B44,Materials[],2,FALSE))</f>
        <v/>
      </c>
      <c r="D44" s="314"/>
      <c r="E44" s="314"/>
      <c r="F44" s="269"/>
      <c r="G44" s="271"/>
      <c r="H44" s="286"/>
      <c r="I44" s="222" t="str">
        <f>IF($B44=0,"",VLOOKUP($B44,Materials[],5,FALSE))</f>
        <v/>
      </c>
      <c r="J44" s="224" t="str">
        <f>IF($B44=0,"",VLOOKUP($B44,Materials[],7,FALSE))</f>
        <v/>
      </c>
      <c r="K44" s="256">
        <f t="shared" si="2"/>
        <v>0</v>
      </c>
      <c r="L44" s="229"/>
    </row>
    <row r="45" spans="1:12" x14ac:dyDescent="0.2">
      <c r="A45" s="239"/>
      <c r="B45" s="273"/>
      <c r="C45" s="314" t="str">
        <f>IF(B45=0,"",VLOOKUP($B45,Materials[],2,FALSE))</f>
        <v/>
      </c>
      <c r="D45" s="314"/>
      <c r="E45" s="314"/>
      <c r="F45" s="269"/>
      <c r="G45" s="271"/>
      <c r="H45" s="286"/>
      <c r="I45" s="222" t="str">
        <f>IF($B45=0,"",VLOOKUP($B45,Materials[],5,FALSE))</f>
        <v/>
      </c>
      <c r="J45" s="224" t="str">
        <f>IF($B45=0,"",VLOOKUP($B45,Materials[],7,FALSE))</f>
        <v/>
      </c>
      <c r="K45" s="256">
        <f t="shared" si="2"/>
        <v>0</v>
      </c>
      <c r="L45" s="229"/>
    </row>
    <row r="46" spans="1:12" x14ac:dyDescent="0.2">
      <c r="A46" s="228"/>
      <c r="B46" s="273"/>
      <c r="C46" s="314" t="str">
        <f>IF(B46=0,"",VLOOKUP($B46,Materials[],2,FALSE))</f>
        <v/>
      </c>
      <c r="D46" s="314"/>
      <c r="E46" s="314"/>
      <c r="F46" s="269"/>
      <c r="G46" s="271"/>
      <c r="H46" s="286"/>
      <c r="I46" s="222" t="str">
        <f>IF($B46=0,"",VLOOKUP($B46,Materials[],5,FALSE))</f>
        <v/>
      </c>
      <c r="J46" s="224" t="str">
        <f>IF($B46=0,"",VLOOKUP($B46,Materials[],7,FALSE))</f>
        <v/>
      </c>
      <c r="K46" s="256">
        <f t="shared" si="2"/>
        <v>0</v>
      </c>
      <c r="L46" s="229"/>
    </row>
    <row r="47" spans="1:12" x14ac:dyDescent="0.2">
      <c r="A47" s="228"/>
      <c r="B47" s="273"/>
      <c r="C47" s="314" t="str">
        <f>IF(B47=0,"",VLOOKUP($B47,Materials[],2,FALSE))</f>
        <v/>
      </c>
      <c r="D47" s="314"/>
      <c r="E47" s="314"/>
      <c r="F47" s="269"/>
      <c r="G47" s="271"/>
      <c r="H47" s="286"/>
      <c r="I47" s="222" t="str">
        <f>IF($B47=0,"",VLOOKUP($B47,Materials[],5,FALSE))</f>
        <v/>
      </c>
      <c r="J47" s="224" t="str">
        <f>IF($B47=0,"",VLOOKUP($B47,Materials[],7,FALSE))</f>
        <v/>
      </c>
      <c r="K47" s="256">
        <f t="shared" si="2"/>
        <v>0</v>
      </c>
      <c r="L47" s="229"/>
    </row>
    <row r="48" spans="1:12" x14ac:dyDescent="0.2">
      <c r="B48" s="274"/>
      <c r="C48" s="314" t="str">
        <f>IF(B48=0,"",VLOOKUP($B48,Materials[],2,FALSE))</f>
        <v/>
      </c>
      <c r="D48" s="314"/>
      <c r="E48" s="314"/>
      <c r="F48" s="270"/>
      <c r="G48" s="271"/>
      <c r="H48" s="288"/>
      <c r="I48" s="222" t="str">
        <f>IF($B48=0,"",VLOOKUP($B48,Materials[],5,FALSE))</f>
        <v/>
      </c>
      <c r="J48" s="224" t="str">
        <f>IF($B48=0,"",VLOOKUP($B48,Materials[],7,FALSE))</f>
        <v/>
      </c>
      <c r="K48" s="256">
        <f t="shared" si="2"/>
        <v>0</v>
      </c>
      <c r="L48" s="229"/>
    </row>
    <row r="49" spans="2:12" x14ac:dyDescent="0.2">
      <c r="B49" s="274"/>
      <c r="C49" s="314" t="str">
        <f>IF(B49=0,"",VLOOKUP($B49,Materials[],2,FALSE))</f>
        <v/>
      </c>
      <c r="D49" s="314"/>
      <c r="E49" s="314"/>
      <c r="F49" s="270"/>
      <c r="G49" s="271"/>
      <c r="H49" s="288"/>
      <c r="I49" s="222" t="str">
        <f>IF($B49=0,"",VLOOKUP($B49,Materials[],5,FALSE))</f>
        <v/>
      </c>
      <c r="J49" s="224" t="str">
        <f>IF($B49=0,"",VLOOKUP($B49,Materials[],7,FALSE))</f>
        <v/>
      </c>
      <c r="K49" s="256">
        <f t="shared" si="2"/>
        <v>0</v>
      </c>
      <c r="L49" s="229"/>
    </row>
    <row r="50" spans="2:12" x14ac:dyDescent="0.2">
      <c r="B50" s="274"/>
      <c r="C50" s="314" t="str">
        <f>IF(B50=0,"",VLOOKUP($B50,Materials[],2,FALSE))</f>
        <v/>
      </c>
      <c r="D50" s="314"/>
      <c r="E50" s="314"/>
      <c r="F50" s="270"/>
      <c r="G50" s="259"/>
      <c r="H50" s="288"/>
      <c r="I50" s="222" t="str">
        <f>IF($B50=0,"",VLOOKUP($B50,Materials[],5,FALSE))</f>
        <v/>
      </c>
      <c r="J50" s="224" t="str">
        <f>IF($B50=0,"",VLOOKUP($B50,Materials[],7,FALSE))</f>
        <v/>
      </c>
      <c r="K50" s="256">
        <f t="shared" si="2"/>
        <v>0</v>
      </c>
      <c r="L50" s="229"/>
    </row>
    <row r="51" spans="2:12" x14ac:dyDescent="0.2">
      <c r="B51" s="274"/>
      <c r="C51" s="314" t="str">
        <f>IF(B51=0,"",VLOOKUP($B51,Materials[],2,FALSE))</f>
        <v/>
      </c>
      <c r="D51" s="314"/>
      <c r="E51" s="314"/>
      <c r="F51" s="270"/>
      <c r="G51" s="259"/>
      <c r="H51" s="288"/>
      <c r="I51" s="222" t="str">
        <f>IF($B51=0,"",VLOOKUP($B51,Materials[],5,FALSE))</f>
        <v/>
      </c>
      <c r="J51" s="224" t="str">
        <f>IF($B51=0,"",VLOOKUP($B51,Materials[],7,FALSE))</f>
        <v/>
      </c>
      <c r="K51" s="256">
        <f t="shared" si="2"/>
        <v>0</v>
      </c>
      <c r="L51" s="229"/>
    </row>
    <row r="52" spans="2:12" x14ac:dyDescent="0.2">
      <c r="B52" s="274"/>
      <c r="C52" s="314" t="str">
        <f>IF(B52=0,"",VLOOKUP($B52,Materials[],2,FALSE))</f>
        <v/>
      </c>
      <c r="D52" s="314"/>
      <c r="E52" s="314"/>
      <c r="F52" s="270"/>
      <c r="G52" s="259"/>
      <c r="H52" s="288"/>
      <c r="I52" s="222" t="str">
        <f>IF($B52=0,"",VLOOKUP($B52,Materials[],5,FALSE))</f>
        <v/>
      </c>
      <c r="J52" s="224" t="str">
        <f>IF($B52=0,"",VLOOKUP($B52,Materials[],7,FALSE))</f>
        <v/>
      </c>
      <c r="K52" s="256">
        <f t="shared" si="2"/>
        <v>0</v>
      </c>
      <c r="L52" s="229"/>
    </row>
    <row r="53" spans="2:12" x14ac:dyDescent="0.2">
      <c r="B53" s="274"/>
      <c r="C53" s="314" t="str">
        <f>IF(B53=0,"",VLOOKUP($B53,Materials[],2,FALSE))</f>
        <v/>
      </c>
      <c r="D53" s="314"/>
      <c r="E53" s="314"/>
      <c r="F53" s="270"/>
      <c r="G53" s="259"/>
      <c r="H53" s="288"/>
      <c r="I53" s="222" t="str">
        <f>IF($B53=0,"",VLOOKUP($B53,Materials[],5,FALSE))</f>
        <v/>
      </c>
      <c r="J53" s="224" t="str">
        <f>IF($B53=0,"",VLOOKUP($B53,Materials[],7,FALSE))</f>
        <v/>
      </c>
      <c r="K53" s="256">
        <f t="shared" si="2"/>
        <v>0</v>
      </c>
      <c r="L53" s="247"/>
    </row>
    <row r="54" spans="2:12" x14ac:dyDescent="0.2">
      <c r="B54" s="274"/>
      <c r="C54" s="314" t="str">
        <f>IF(B54=0,"",VLOOKUP($B54,Materials[],2,FALSE))</f>
        <v/>
      </c>
      <c r="D54" s="314"/>
      <c r="E54" s="314"/>
      <c r="F54" s="270"/>
      <c r="G54" s="259"/>
      <c r="H54" s="288"/>
      <c r="I54" s="222" t="str">
        <f>IF($B54=0,"",VLOOKUP($B54,Materials[],5,FALSE))</f>
        <v/>
      </c>
      <c r="J54" s="224" t="str">
        <f>IF($B54=0,"",VLOOKUP($B54,Materials[],7,FALSE))</f>
        <v/>
      </c>
      <c r="K54" s="256">
        <f>IF(B54=0,0,ROUND(G54*H54*J54,2))</f>
        <v>0</v>
      </c>
      <c r="L54" s="247"/>
    </row>
    <row r="55" spans="2:12" x14ac:dyDescent="0.2">
      <c r="B55" s="274"/>
      <c r="C55" s="314" t="str">
        <f>IF(B55=0,"",VLOOKUP($B55,Materials[],2,FALSE))</f>
        <v/>
      </c>
      <c r="D55" s="314"/>
      <c r="E55" s="314"/>
      <c r="F55" s="270"/>
      <c r="G55" s="259"/>
      <c r="H55" s="288"/>
      <c r="I55" s="222" t="str">
        <f>IF($B55=0,"",VLOOKUP($B55,Materials[],5,FALSE))</f>
        <v/>
      </c>
      <c r="J55" s="224" t="str">
        <f>IF($B55=0,"",VLOOKUP($B55,Materials[],7,FALSE))</f>
        <v/>
      </c>
      <c r="K55" s="256">
        <f>IF(B55=0,0,ROUND(G55*H55*J55,2))</f>
        <v>0</v>
      </c>
      <c r="L55" s="247"/>
    </row>
    <row r="56" spans="2:12" x14ac:dyDescent="0.2">
      <c r="B56" s="274"/>
      <c r="C56" s="314" t="str">
        <f>IF(B56=0,"",VLOOKUP($B56,Materials[],2,FALSE))</f>
        <v/>
      </c>
      <c r="D56" s="314"/>
      <c r="E56" s="314"/>
      <c r="F56" s="270"/>
      <c r="G56" s="259"/>
      <c r="H56" s="288"/>
      <c r="I56" s="222" t="str">
        <f>IF($B56=0,"",VLOOKUP($B56,Materials[],5,FALSE))</f>
        <v/>
      </c>
      <c r="J56" s="224" t="str">
        <f>IF($B56=0,"",VLOOKUP($B56,Materials[],7,FALSE))</f>
        <v/>
      </c>
      <c r="K56" s="256">
        <f>IF(B56=0,0,ROUND(G56*H56*J56,2))</f>
        <v>0</v>
      </c>
      <c r="L56" s="247"/>
    </row>
    <row r="57" spans="2:12" x14ac:dyDescent="0.2">
      <c r="B57" s="274"/>
      <c r="C57" s="314" t="str">
        <f>IF(B57=0,"",VLOOKUP($B57,Materials[],2,FALSE))</f>
        <v/>
      </c>
      <c r="D57" s="314"/>
      <c r="E57" s="314"/>
      <c r="F57" s="270"/>
      <c r="G57" s="259"/>
      <c r="H57" s="288"/>
      <c r="I57" s="222" t="str">
        <f>IF($B57=0,"",VLOOKUP($B57,Materials[],5,FALSE))</f>
        <v/>
      </c>
      <c r="J57" s="224" t="str">
        <f>IF($B57=0,"",VLOOKUP($B57,Materials[],7,FALSE))</f>
        <v/>
      </c>
      <c r="K57" s="256">
        <f>IF(B57=0,0,ROUND(G57*H57*J57,2))</f>
        <v>0</v>
      </c>
      <c r="L57" s="247"/>
    </row>
    <row r="58" spans="2:12" x14ac:dyDescent="0.2">
      <c r="B58" s="274"/>
      <c r="C58" s="314" t="str">
        <f>IF(B58=0,"",VLOOKUP($B58,Materials[],2,FALSE))</f>
        <v/>
      </c>
      <c r="D58" s="314"/>
      <c r="E58" s="314"/>
      <c r="F58" s="270"/>
      <c r="G58" s="259"/>
      <c r="H58" s="288"/>
      <c r="I58" s="222" t="str">
        <f>IF($B58=0,"",VLOOKUP($B58,Materials[],5,FALSE))</f>
        <v/>
      </c>
      <c r="J58" s="224" t="str">
        <f>IF($B58=0,"",VLOOKUP($B58,Materials[],7,FALSE))</f>
        <v/>
      </c>
      <c r="K58" s="256">
        <f>IF(B58=0,0,ROUND(G58*H58*J58,2))</f>
        <v>0</v>
      </c>
      <c r="L58" s="247"/>
    </row>
    <row r="59" spans="2:12" x14ac:dyDescent="0.2">
      <c r="B59" s="274"/>
      <c r="C59" s="315">
        <f>IF(B59=0,0,"Crop Insurance")</f>
        <v>0</v>
      </c>
      <c r="D59" s="315"/>
      <c r="E59" s="315"/>
      <c r="F59" s="270"/>
      <c r="G59" s="259">
        <f>IF(B59=0,0,100%)</f>
        <v>0</v>
      </c>
      <c r="H59" s="288">
        <f>IF(B59=0,0,1)</f>
        <v>0</v>
      </c>
      <c r="I59" s="222">
        <f>IF(B59=0,0,"acre")</f>
        <v>0</v>
      </c>
      <c r="J59" s="224">
        <f>IFERROR(VLOOKUP(B59,CropInsurance,2,FALSE),0)</f>
        <v>0</v>
      </c>
      <c r="K59" s="227">
        <f>IF(B59=0,0,J59)</f>
        <v>0</v>
      </c>
      <c r="L59" s="247"/>
    </row>
    <row r="60" spans="2:12" ht="3.75" customHeight="1" thickBot="1" x14ac:dyDescent="0.25">
      <c r="B60" s="248"/>
      <c r="C60" s="246"/>
      <c r="D60" s="246"/>
      <c r="E60" s="246"/>
      <c r="F60" s="249"/>
      <c r="G60" s="250"/>
      <c r="H60" s="251"/>
      <c r="I60" s="223"/>
      <c r="J60" s="225"/>
      <c r="K60" s="221"/>
      <c r="L60" s="245"/>
    </row>
    <row r="61" spans="2:12" ht="13.5" thickTop="1" x14ac:dyDescent="0.2">
      <c r="C61" s="218" t="s">
        <v>96</v>
      </c>
      <c r="D61" s="218"/>
      <c r="J61" s="256"/>
      <c r="K61" s="256">
        <f>SUM(K35:K59)</f>
        <v>0</v>
      </c>
      <c r="L61" s="229"/>
    </row>
    <row r="62" spans="2:12" x14ac:dyDescent="0.2">
      <c r="B62" s="240"/>
    </row>
    <row r="63" spans="2:12" x14ac:dyDescent="0.2">
      <c r="B63" s="260" t="s">
        <v>100</v>
      </c>
      <c r="K63" s="256">
        <f>K31+K61</f>
        <v>0</v>
      </c>
      <c r="L63" s="229"/>
    </row>
    <row r="64" spans="2:12" ht="13.5" thickBot="1" x14ac:dyDescent="0.25">
      <c r="D64" s="232" t="s">
        <v>403</v>
      </c>
      <c r="E64" s="244">
        <f>SUM($E$31:$H$31)+$K$61</f>
        <v>0</v>
      </c>
      <c r="F64" s="309" t="s">
        <v>404</v>
      </c>
      <c r="G64" s="309"/>
      <c r="H64" s="233">
        <f>'General Variables'!$B$11</f>
        <v>5.5E-2</v>
      </c>
      <c r="I64" s="234" t="str">
        <f>CONCATENATE("for ",TEXT('General Variables'!$B$12,"0.0")," mo.")</f>
        <v>for 6.0 mo.</v>
      </c>
      <c r="K64" s="21">
        <f>ROUND(E64*H64*'General Variables'!$B$12/12,2)</f>
        <v>0</v>
      </c>
      <c r="L64" s="230"/>
    </row>
    <row r="65" spans="2:12" ht="13.5" thickTop="1" x14ac:dyDescent="0.2">
      <c r="B65" s="260" t="s">
        <v>408</v>
      </c>
      <c r="K65" s="256">
        <f>SUM(K63:K64)</f>
        <v>0</v>
      </c>
      <c r="L65" s="229"/>
    </row>
    <row r="67" spans="2:12" x14ac:dyDescent="0.2">
      <c r="B67" s="242" t="s">
        <v>436</v>
      </c>
      <c r="C67" s="231"/>
      <c r="D67" s="231"/>
      <c r="E67" s="231"/>
      <c r="F67" s="231"/>
      <c r="G67" s="231"/>
      <c r="H67" s="231"/>
      <c r="I67" s="231"/>
      <c r="J67" s="231"/>
      <c r="K67" s="22">
        <f>'General Variables'!B14</f>
        <v>20</v>
      </c>
      <c r="L67" s="229"/>
    </row>
    <row r="68" spans="2:12" x14ac:dyDescent="0.2">
      <c r="B68" s="217" t="s">
        <v>411</v>
      </c>
      <c r="C68" s="310"/>
      <c r="D68" s="311"/>
      <c r="E68" s="312"/>
      <c r="F68" s="236">
        <f>IF(C68=0,0,VLOOKUP(C68,RETable,2,FALSE))</f>
        <v>0</v>
      </c>
      <c r="G68" s="309" t="s">
        <v>412</v>
      </c>
      <c r="H68" s="309"/>
      <c r="I68" s="233">
        <f>'General Variables'!$B$10</f>
        <v>0.04</v>
      </c>
      <c r="K68" s="25">
        <f>ROUND(F68*I68,2)</f>
        <v>0</v>
      </c>
      <c r="L68" s="229"/>
    </row>
    <row r="69" spans="2:12" ht="13.5" thickBot="1" x14ac:dyDescent="0.25">
      <c r="B69" s="217" t="s">
        <v>420</v>
      </c>
      <c r="F69" s="243">
        <f>IF(C68=0,0,VLOOKUP(C68,RETable,2,FALSE))</f>
        <v>0</v>
      </c>
      <c r="G69" s="313" t="s">
        <v>412</v>
      </c>
      <c r="H69" s="313"/>
      <c r="I69" s="241">
        <f>'General Variables'!$B$13</f>
        <v>0.01</v>
      </c>
      <c r="J69" s="228"/>
      <c r="K69" s="26">
        <f>ROUND(F69*I69,2)</f>
        <v>0</v>
      </c>
      <c r="L69" s="230"/>
    </row>
    <row r="70" spans="2:12" ht="13.5" thickTop="1" x14ac:dyDescent="0.2">
      <c r="B70" s="260" t="s">
        <v>425</v>
      </c>
      <c r="K70" s="256">
        <f>SUM(K65:K69)</f>
        <v>20</v>
      </c>
      <c r="L70" s="229"/>
    </row>
    <row r="72" spans="2:12" x14ac:dyDescent="0.2">
      <c r="B72" s="260" t="str">
        <f>"Cost per "&amp;$B$4</f>
        <v>Cost per Unit</v>
      </c>
      <c r="K72" s="256">
        <f>IF(A4="Yield",0,K70/A4)</f>
        <v>0</v>
      </c>
      <c r="L72" s="229"/>
    </row>
    <row r="73" spans="2:12" x14ac:dyDescent="0.2">
      <c r="B73" s="237" t="str">
        <f>"Cash Cost per "&amp;$B$4</f>
        <v>Cash Cost per Unit</v>
      </c>
      <c r="C73" s="228"/>
      <c r="D73" s="228"/>
      <c r="E73" s="228"/>
      <c r="F73" s="228"/>
      <c r="G73" s="228"/>
      <c r="H73" s="228"/>
      <c r="I73" s="228"/>
      <c r="J73" s="228"/>
      <c r="K73" s="257">
        <f>IF(A4="Yield",0,(E64+K64)/A4)</f>
        <v>0</v>
      </c>
      <c r="L73" s="238"/>
    </row>
    <row r="83" spans="2:4" x14ac:dyDescent="0.2">
      <c r="B83" s="226"/>
      <c r="C83" s="226"/>
      <c r="D83" s="226"/>
    </row>
    <row r="84" spans="2:4" x14ac:dyDescent="0.2">
      <c r="B84" s="226"/>
      <c r="C84" s="226"/>
      <c r="D84" s="226"/>
    </row>
    <row r="85" spans="2:4" x14ac:dyDescent="0.2">
      <c r="B85" s="226"/>
      <c r="C85" s="226"/>
      <c r="D85" s="226"/>
    </row>
    <row r="86" spans="2:4" x14ac:dyDescent="0.2">
      <c r="B86" s="226"/>
      <c r="C86" s="226"/>
      <c r="D86" s="226"/>
    </row>
    <row r="87" spans="2:4" x14ac:dyDescent="0.2">
      <c r="B87" s="226"/>
      <c r="C87" s="226"/>
      <c r="D87" s="226"/>
    </row>
    <row r="88" spans="2:4" x14ac:dyDescent="0.2">
      <c r="B88" s="226"/>
      <c r="C88" s="226"/>
      <c r="D88" s="226"/>
    </row>
    <row r="89" spans="2:4" x14ac:dyDescent="0.2">
      <c r="B89" s="226"/>
      <c r="C89" s="226"/>
      <c r="D89" s="226"/>
    </row>
    <row r="90" spans="2:4" x14ac:dyDescent="0.2">
      <c r="B90" s="226"/>
      <c r="C90" s="226"/>
      <c r="D90" s="226"/>
    </row>
    <row r="91" spans="2:4" x14ac:dyDescent="0.2">
      <c r="B91" s="226"/>
      <c r="C91" s="226"/>
      <c r="D91" s="226"/>
    </row>
    <row r="92" spans="2:4" x14ac:dyDescent="0.2">
      <c r="B92" s="226"/>
      <c r="C92" s="226"/>
      <c r="D92" s="226"/>
    </row>
    <row r="93" spans="2:4" x14ac:dyDescent="0.2">
      <c r="B93" s="226"/>
      <c r="C93" s="226"/>
      <c r="D93" s="226"/>
    </row>
    <row r="94" spans="2:4" x14ac:dyDescent="0.2">
      <c r="B94" s="226"/>
      <c r="C94" s="226"/>
      <c r="D94" s="226"/>
    </row>
    <row r="95" spans="2:4" x14ac:dyDescent="0.2">
      <c r="B95" s="226"/>
      <c r="C95" s="226"/>
      <c r="D95" s="226"/>
    </row>
    <row r="96" spans="2:4" x14ac:dyDescent="0.2">
      <c r="B96" s="226"/>
      <c r="C96" s="226"/>
      <c r="D96" s="226"/>
    </row>
    <row r="97" spans="2:11" x14ac:dyDescent="0.2">
      <c r="B97" s="226"/>
      <c r="C97" s="226"/>
      <c r="D97" s="226"/>
    </row>
    <row r="98" spans="2:11" x14ac:dyDescent="0.2">
      <c r="B98" s="226"/>
      <c r="C98" s="226"/>
      <c r="D98" s="226"/>
    </row>
    <row r="99" spans="2:11" x14ac:dyDescent="0.2">
      <c r="B99" s="226"/>
      <c r="C99" s="226"/>
      <c r="D99" s="226"/>
    </row>
    <row r="100" spans="2:11" x14ac:dyDescent="0.2">
      <c r="B100" s="226"/>
      <c r="C100" s="226"/>
      <c r="D100" s="226"/>
    </row>
    <row r="101" spans="2:11" x14ac:dyDescent="0.2">
      <c r="B101" s="226"/>
      <c r="C101" s="226"/>
      <c r="D101" s="226"/>
    </row>
    <row r="102" spans="2:11" x14ac:dyDescent="0.2">
      <c r="B102" s="226"/>
      <c r="C102" s="226"/>
      <c r="D102" s="226"/>
    </row>
    <row r="103" spans="2:11" x14ac:dyDescent="0.2">
      <c r="B103" s="226"/>
      <c r="C103" s="226"/>
      <c r="D103" s="226"/>
    </row>
    <row r="104" spans="2:11" x14ac:dyDescent="0.2">
      <c r="B104" s="226"/>
      <c r="C104" s="226"/>
      <c r="D104" s="226"/>
    </row>
    <row r="105" spans="2:11" x14ac:dyDescent="0.2">
      <c r="B105" s="226"/>
      <c r="C105" s="226"/>
      <c r="D105" s="226"/>
    </row>
    <row r="106" spans="2:11" x14ac:dyDescent="0.2">
      <c r="B106" s="226"/>
      <c r="C106" s="226"/>
      <c r="D106" s="226"/>
    </row>
    <row r="107" spans="2:11" x14ac:dyDescent="0.2">
      <c r="B107" s="226"/>
      <c r="C107" s="226"/>
      <c r="D107" s="226"/>
    </row>
    <row r="108" spans="2:11" x14ac:dyDescent="0.2">
      <c r="B108" s="228" t="str">
        <f>IF(Operations!A2="","",Operations!A2)</f>
        <v>Aerial Spray</v>
      </c>
      <c r="C108" s="228" t="str">
        <f>IF(Materials!B2="","",Materials!B2)</f>
        <v>10-34-0</v>
      </c>
      <c r="D108" s="228"/>
      <c r="F108" s="217" t="str">
        <f>IF('General Variables'!E5=0,"",'General Variables'!E5)</f>
        <v>Dryland (State)</v>
      </c>
      <c r="H108" s="217" t="str">
        <f>'General Variables'!A18</f>
        <v>Corn Dryland</v>
      </c>
    </row>
    <row r="109" spans="2:11" x14ac:dyDescent="0.2">
      <c r="B109" s="228" t="str">
        <f>IF(Operations!A3="","",Operations!A3)</f>
        <v>Anhy Apply (supplier)</v>
      </c>
      <c r="C109" s="228" t="str">
        <f>IF(Materials!B3="","",Materials!B3)</f>
        <v>10-34-0-1Z</v>
      </c>
      <c r="D109" s="228"/>
      <c r="F109" s="217" t="str">
        <f>IF('General Variables'!E6=0,"",'General Variables'!E6)</f>
        <v>Dryland (Panhandle)</v>
      </c>
      <c r="H109" s="217" t="str">
        <f>'General Variables'!A19</f>
        <v>Corn Dryland Ecofallow</v>
      </c>
      <c r="K109" s="217" t="s">
        <v>571</v>
      </c>
    </row>
    <row r="110" spans="2:11" x14ac:dyDescent="0.2">
      <c r="B110" s="228" t="str">
        <f>IF(Operations!A4="","",Operations!A4)</f>
        <v>Anhydrous Apply</v>
      </c>
      <c r="C110" s="228" t="str">
        <f>IF(Materials!B4="","",Materials!B4)</f>
        <v>11-52-0</v>
      </c>
      <c r="D110" s="228"/>
      <c r="F110" s="217" t="str">
        <f>IF('General Variables'!E7=0,"",'General Variables'!E7)</f>
        <v>Gravity (State)</v>
      </c>
      <c r="H110" s="217" t="str">
        <f>'General Variables'!A20</f>
        <v>Corn Irrigated</v>
      </c>
      <c r="K110" s="217" t="s">
        <v>572</v>
      </c>
    </row>
    <row r="111" spans="2:11" x14ac:dyDescent="0.2">
      <c r="B111" s="228" t="str">
        <f>IF(Operations!A5="","",Operations!A5)</f>
        <v>Cart</v>
      </c>
      <c r="C111" s="228" t="str">
        <f>IF(Materials!B5="","",Materials!B5)</f>
        <v>2,4-D Amine</v>
      </c>
      <c r="D111" s="228"/>
      <c r="F111" s="217" t="str">
        <f>IF('General Variables'!E8=0,"",'General Variables'!E8)</f>
        <v>Gravity (Panhandle)</v>
      </c>
      <c r="H111" s="217" t="str">
        <f>'General Variables'!A21</f>
        <v>Drybeans</v>
      </c>
    </row>
    <row r="112" spans="2:11" x14ac:dyDescent="0.2">
      <c r="B112" s="228" t="str">
        <f>IF(Operations!A6="","",Operations!A6)</f>
        <v>Chisel</v>
      </c>
      <c r="C112" s="228" t="str">
        <f>IF(Materials!B6="","",Materials!B6)</f>
        <v>2,4-D Ester 4#</v>
      </c>
      <c r="D112" s="228"/>
      <c r="F112" s="217" t="str">
        <f>IF('General Variables'!E9=0,"",'General Variables'!E9)</f>
        <v>Pivot (State)</v>
      </c>
      <c r="H112" s="217" t="str">
        <f>'General Variables'!A22</f>
        <v>Grain Sorghum Dryland</v>
      </c>
    </row>
    <row r="113" spans="2:8" x14ac:dyDescent="0.2">
      <c r="B113" s="228" t="str">
        <f>IF(Operations!A7="","",Operations!A7)</f>
        <v>Chop Silage</v>
      </c>
      <c r="C113" s="228" t="str">
        <f>IF(Materials!B7="","",Materials!B7)</f>
        <v xml:space="preserve">21-0-0-24S   </v>
      </c>
      <c r="D113" s="228"/>
      <c r="F113" s="217" t="str">
        <f>IF('General Variables'!E10=0,"",'General Variables'!E10)</f>
        <v>Pivot (Panhandle)</v>
      </c>
      <c r="H113" s="217" t="str">
        <f>'General Variables'!A23</f>
        <v>Grain Sorghum Irrigated</v>
      </c>
    </row>
    <row r="114" spans="2:8" x14ac:dyDescent="0.2">
      <c r="B114" s="228" t="str">
        <f>IF(Operations!A8="","",Operations!A8)</f>
        <v>Chop Stalks</v>
      </c>
      <c r="C114" s="228" t="str">
        <f>IF(Materials!B8="","",Materials!B8)</f>
        <v>28-0-0</v>
      </c>
      <c r="D114" s="228"/>
      <c r="F114" s="217" t="str">
        <f>IF('General Variables'!E11=0,"",'General Variables'!E11)</f>
        <v>Dryland (Southwest)</v>
      </c>
      <c r="H114" s="217" t="str">
        <f>'General Variables'!A24</f>
        <v>Millet</v>
      </c>
    </row>
    <row r="115" spans="2:8" x14ac:dyDescent="0.2">
      <c r="B115" s="228" t="str">
        <f>IF(Operations!A9="","",Operations!A9)</f>
        <v>Combine Dryland Corn</v>
      </c>
      <c r="C115" s="228" t="str">
        <f>IF(Materials!B9="","",Materials!B9)</f>
        <v>32-0-0</v>
      </c>
      <c r="D115" s="228"/>
      <c r="F115" s="217" t="str">
        <f>IF('General Variables'!E12=0,"",'General Variables'!E12)</f>
        <v>Fall Establishment</v>
      </c>
      <c r="H115" s="217" t="str">
        <f>'General Variables'!A25</f>
        <v>Oats</v>
      </c>
    </row>
    <row r="116" spans="2:8" x14ac:dyDescent="0.2">
      <c r="B116" s="228" t="str">
        <f>IF(Operations!A10="","",Operations!A10)</f>
        <v>Combine Dryland SB</v>
      </c>
      <c r="C116" s="228" t="str">
        <f>IF(Materials!B10="","",Materials!B10)</f>
        <v>32-0-0 (Applied by Pivot)</v>
      </c>
      <c r="D116" s="228"/>
      <c r="F116" s="217" t="str">
        <f>IF('General Variables'!E13=0,"",'General Variables'!E13)</f>
        <v>Pivot (Marginal Land)</v>
      </c>
      <c r="H116" s="217" t="str">
        <f>'General Variables'!A26</f>
        <v>Soybeans Dryland</v>
      </c>
    </row>
    <row r="117" spans="2:8" x14ac:dyDescent="0.2">
      <c r="B117" s="228" t="str">
        <f>IF(Operations!A11="","",Operations!A11)</f>
        <v>Combine Dryland SG</v>
      </c>
      <c r="C117" s="228" t="str">
        <f>IF(Materials!B11="","",Materials!B11)</f>
        <v>32-0-0 (Applied by R2)</v>
      </c>
      <c r="D117" s="228"/>
      <c r="F117" s="217" t="e">
        <f>IF('General Variables'!#REF!=0,"",'General Variables'!#REF!)</f>
        <v>#REF!</v>
      </c>
      <c r="H117" s="217" t="str">
        <f>'General Variables'!A27</f>
        <v>Soybeans Irrigated</v>
      </c>
    </row>
    <row r="118" spans="2:8" x14ac:dyDescent="0.2">
      <c r="B118" s="228" t="str">
        <f>IF(Operations!A12="","",Operations!A12)</f>
        <v>Combine Irr Corn</v>
      </c>
      <c r="C118" s="228" t="str">
        <f>IF(Materials!B12="","",Materials!B12)</f>
        <v>32-0-0 (Additive)</v>
      </c>
      <c r="D118" s="228"/>
      <c r="F118" s="217" t="e">
        <f>IF('General Variables'!#REF!=0,"",'General Variables'!#REF!)</f>
        <v>#REF!</v>
      </c>
      <c r="H118" s="217" t="str">
        <f>'General Variables'!A28</f>
        <v>Sugar Beets</v>
      </c>
    </row>
    <row r="119" spans="2:8" x14ac:dyDescent="0.2">
      <c r="B119" s="228" t="str">
        <f>IF(Operations!A13="","",Operations!A13)</f>
        <v>Combine Irr Dry Beans</v>
      </c>
      <c r="C119" s="228" t="str">
        <f>IF(Materials!B13="","",Materials!B13)</f>
        <v>46-0-0</v>
      </c>
      <c r="D119" s="228"/>
      <c r="F119" s="217" t="e">
        <f>IF('General Variables'!#REF!=0,"",'General Variables'!#REF!)</f>
        <v>#REF!</v>
      </c>
      <c r="H119" s="217" t="str">
        <f>'General Variables'!A29</f>
        <v>Sunflower Dryland</v>
      </c>
    </row>
    <row r="120" spans="2:8" x14ac:dyDescent="0.2">
      <c r="B120" s="228" t="str">
        <f>IF(Operations!A14="","",Operations!A14)</f>
        <v>Combine Irr SB</v>
      </c>
      <c r="C120" s="228" t="str">
        <f>IF(Materials!B14="","",Materials!B14)</f>
        <v>82-0-0</v>
      </c>
      <c r="D120" s="228"/>
      <c r="F120" s="217" t="e">
        <f>IF('General Variables'!#REF!=0,"",'General Variables'!#REF!)</f>
        <v>#REF!</v>
      </c>
      <c r="H120" s="217" t="str">
        <f>'General Variables'!A30</f>
        <v>Sunflower Irrigated</v>
      </c>
    </row>
    <row r="121" spans="2:8" x14ac:dyDescent="0.2">
      <c r="B121" s="228" t="str">
        <f>IF(Operations!A15="","",Operations!A15)</f>
        <v>Combine Irr SG</v>
      </c>
      <c r="C121" s="228" t="str">
        <f>IF(Materials!B15="","",Materials!B15)</f>
        <v>AAtrex 4L</v>
      </c>
      <c r="D121" s="228"/>
      <c r="F121" s="217" t="e">
        <f>IF('General Variables'!#REF!=0,"",'General Variables'!#REF!)</f>
        <v>#REF!</v>
      </c>
      <c r="H121" s="217" t="str">
        <f>'General Variables'!A31</f>
        <v>Wheat After Crop</v>
      </c>
    </row>
    <row r="122" spans="2:8" x14ac:dyDescent="0.2">
      <c r="B122" s="228" t="str">
        <f>IF(Operations!A16="","",Operations!A16)</f>
        <v>Combine Irrigated Dry Beans with Draper Flex Platform</v>
      </c>
      <c r="C122" s="228" t="str">
        <f>IF(Materials!B16="","",Materials!B16)</f>
        <v>Aerial Spray</v>
      </c>
      <c r="D122" s="228"/>
      <c r="F122" s="217" t="e">
        <f>IF('General Variables'!#REF!=0,"",'General Variables'!#REF!)</f>
        <v>#REF!</v>
      </c>
      <c r="H122" s="217" t="str">
        <f>'General Variables'!A32</f>
        <v>Wheat Fallowed</v>
      </c>
    </row>
    <row r="123" spans="2:8" x14ac:dyDescent="0.2">
      <c r="B123" s="228" t="str">
        <f>IF(Operations!A17="","",Operations!A17)</f>
        <v>Combine Small Grain</v>
      </c>
      <c r="C123" s="228" t="str">
        <f>IF(Materials!B17="","",Materials!B17)</f>
        <v>Aim 2EC</v>
      </c>
      <c r="D123" s="228"/>
      <c r="F123" s="217" t="e">
        <f>IF('General Variables'!#REF!=0,"",'General Variables'!#REF!)</f>
        <v>#REF!</v>
      </c>
      <c r="H123" s="217" t="str">
        <f>'General Variables'!A33</f>
        <v>Wheat Irrigated</v>
      </c>
    </row>
    <row r="124" spans="2:8" x14ac:dyDescent="0.2">
      <c r="B124" s="228" t="str">
        <f>IF(Operations!A18="","",Operations!A18)</f>
        <v>Combine Sunflowers</v>
      </c>
      <c r="C124" s="228" t="str">
        <f>IF(Materials!B18="","",Materials!B18)</f>
        <v>Alfalfa RR w/ Inoculant</v>
      </c>
      <c r="D124" s="228"/>
      <c r="F124" s="217" t="e">
        <f>IF('General Variables'!#REF!=0,"",'General Variables'!#REF!)</f>
        <v>#REF!</v>
      </c>
    </row>
    <row r="125" spans="2:8" x14ac:dyDescent="0.2">
      <c r="B125" s="228" t="str">
        <f>IF(Operations!A19="","",Operations!A19)</f>
        <v>Corrugate</v>
      </c>
      <c r="C125" s="228" t="str">
        <f>IF(Materials!B19="","",Materials!B19)</f>
        <v>Alfalfa w/Inoculant</v>
      </c>
      <c r="D125" s="228"/>
      <c r="F125" s="217" t="e">
        <f>IF('General Variables'!#REF!=0,"",'General Variables'!#REF!)</f>
        <v>#REF!</v>
      </c>
    </row>
    <row r="126" spans="2:8" x14ac:dyDescent="0.2">
      <c r="B126" s="228" t="str">
        <f>IF(Operations!A20="","",Operations!A20)</f>
        <v>Disc</v>
      </c>
      <c r="C126" s="228" t="str">
        <f>IF(Materials!B20="","",Materials!B20)</f>
        <v>Ally Extra SGW/TOTSOL</v>
      </c>
      <c r="D126" s="228"/>
      <c r="F126" s="217" t="e">
        <f>IF('General Variables'!#REF!=0,"",'General Variables'!#REF!)</f>
        <v>#REF!</v>
      </c>
    </row>
    <row r="127" spans="2:8" x14ac:dyDescent="0.2">
      <c r="B127" s="228" t="str">
        <f>IF(Operations!A21="","",Operations!A21)</f>
        <v>Ditch Irrigation</v>
      </c>
      <c r="C127" s="228" t="str">
        <f>IF(Materials!B21="","",Materials!B21)</f>
        <v>Asana XL</v>
      </c>
      <c r="D127" s="228"/>
      <c r="F127" s="217" t="e">
        <f>IF('General Variables'!#REF!=0,"",'General Variables'!#REF!)</f>
        <v>#REF!</v>
      </c>
    </row>
    <row r="128" spans="2:8" x14ac:dyDescent="0.2">
      <c r="B128" s="228" t="str">
        <f>IF(Operations!A22="","",Operations!A22)</f>
        <v>Double Windrows</v>
      </c>
      <c r="C128" s="228" t="str">
        <f>IF(Materials!B22="","",Materials!B22)</f>
        <v>Atrazine 4L</v>
      </c>
      <c r="D128" s="228"/>
      <c r="F128" s="217" t="str">
        <f>IF('General Variables'!M3=0,"",'General Variables'!M3)</f>
        <v/>
      </c>
    </row>
    <row r="129" spans="2:6" x14ac:dyDescent="0.2">
      <c r="B129" s="228" t="str">
        <f>IF(Operations!A23="","",Operations!A23)</f>
        <v>Drill</v>
      </c>
      <c r="C129" s="228" t="str">
        <f>IF(Materials!B23="","",Materials!B23)</f>
        <v>Atrazine 90 DF</v>
      </c>
      <c r="D129" s="228"/>
      <c r="F129" s="217" t="str">
        <f>IF('General Variables'!I3=0,"",'General Variables'!I3)</f>
        <v/>
      </c>
    </row>
    <row r="130" spans="2:6" x14ac:dyDescent="0.2">
      <c r="B130" s="228" t="str">
        <f>IF(Operations!A24="","",Operations!A24)</f>
        <v>Drill w/ Fertillizer</v>
      </c>
      <c r="C130" s="228" t="str">
        <f>IF(Materials!B24="","",Materials!B24)</f>
        <v>Authority First DF</v>
      </c>
      <c r="D130" s="228"/>
      <c r="F130" s="217" t="e">
        <f>IF('General Variables'!#REF!=0,"",'General Variables'!#REF!)</f>
        <v>#REF!</v>
      </c>
    </row>
    <row r="131" spans="2:6" x14ac:dyDescent="0.2">
      <c r="B131" s="228" t="str">
        <f>IF(Operations!A25="","",Operations!A25)</f>
        <v>Dry Grain</v>
      </c>
      <c r="C131" s="228" t="str">
        <f>IF(Materials!B25="","",Materials!B25)</f>
        <v>Balance Flexx</v>
      </c>
      <c r="D131" s="228"/>
      <c r="F131" s="217" t="e">
        <f>IF('General Variables'!#REF!=0,"",'General Variables'!#REF!)</f>
        <v>#REF!</v>
      </c>
    </row>
    <row r="132" spans="2:6" x14ac:dyDescent="0.2">
      <c r="B132" s="228" t="str">
        <f>IF(Operations!A26="","",Operations!A26)</f>
        <v>Fallow Master</v>
      </c>
      <c r="C132" s="228" t="str">
        <f>IF(Materials!B26="","",Materials!B26)</f>
        <v>Bale Lg Sq 1360 lb</v>
      </c>
      <c r="D132" s="228"/>
      <c r="F132" s="217" t="e">
        <f>IF('General Variables'!#REF!=0,"",'General Variables'!#REF!)</f>
        <v>#REF!</v>
      </c>
    </row>
    <row r="133" spans="2:6" x14ac:dyDescent="0.2">
      <c r="B133" s="228" t="str">
        <f>IF(Operations!A27="","",Operations!A27)</f>
        <v>Field Cultivation</v>
      </c>
      <c r="C133" s="228" t="str">
        <f>IF(Materials!B27="","",Materials!B27)</f>
        <v>Basagran</v>
      </c>
      <c r="D133" s="228"/>
      <c r="F133" s="217" t="e">
        <f>IF('General Variables'!#REF!=0,"",'General Variables'!#REF!)</f>
        <v>#REF!</v>
      </c>
    </row>
    <row r="134" spans="2:6" x14ac:dyDescent="0.2">
      <c r="B134" s="228" t="str">
        <f>IF(Operations!A28="","",Operations!A28)</f>
        <v>Grass Drill</v>
      </c>
      <c r="C134" s="228" t="str">
        <f>IF(Materials!B28="","",Materials!B28)</f>
        <v>Bicep II Magnum</v>
      </c>
      <c r="D134" s="228"/>
    </row>
    <row r="135" spans="2:6" x14ac:dyDescent="0.2">
      <c r="B135" s="228" t="str">
        <f>IF(Operations!A29="","",Operations!A29)</f>
        <v>Harrow</v>
      </c>
      <c r="C135" s="228" t="str">
        <f>IF(Materials!B29="","",Materials!B29)</f>
        <v>Brigade 2EC</v>
      </c>
      <c r="D135" s="228"/>
    </row>
    <row r="136" spans="2:6" x14ac:dyDescent="0.2">
      <c r="B136" s="228" t="str">
        <f>IF(Operations!A30="","",Operations!A30)</f>
        <v>Hoe</v>
      </c>
      <c r="C136" s="228" t="str">
        <f>IF(Materials!B30="","",Materials!B30)</f>
        <v>Buctril 4E</v>
      </c>
      <c r="D136" s="228"/>
    </row>
    <row r="137" spans="2:6" x14ac:dyDescent="0.2">
      <c r="B137" s="228" t="str">
        <f>IF(Operations!A31="","",Operations!A31)</f>
        <v>Lg Rd Bale</v>
      </c>
      <c r="C137" s="228" t="str">
        <f>IF(Materials!B31="","",Materials!B31)</f>
        <v>Capture LFR</v>
      </c>
      <c r="D137" s="228"/>
    </row>
    <row r="138" spans="2:6" x14ac:dyDescent="0.2">
      <c r="B138" s="228" t="str">
        <f>IF(Operations!A32="","",Operations!A32)</f>
        <v>Lg Sq Bale</v>
      </c>
      <c r="C138" s="228" t="str">
        <f>IF(Materials!B32="","",Materials!B32)</f>
        <v>Chop, Haul, Pack</v>
      </c>
      <c r="D138" s="228"/>
    </row>
    <row r="139" spans="2:6" x14ac:dyDescent="0.2">
      <c r="B139" s="228" t="str">
        <f>IF(Operations!A33="","",Operations!A33)</f>
        <v>Lift Beets</v>
      </c>
      <c r="C139" s="228" t="str">
        <f>IF(Materials!B33="","",Materials!B33)</f>
        <v>Copper</v>
      </c>
      <c r="D139" s="228"/>
    </row>
    <row r="140" spans="2:6" x14ac:dyDescent="0.2">
      <c r="B140" s="228" t="str">
        <f>IF(Operations!A34="","",Operations!A34)</f>
        <v>Load Lg Sq</v>
      </c>
      <c r="C140" s="228" t="str">
        <f>IF(Materials!B34="","",Materials!B34)</f>
        <v>Corn</v>
      </c>
      <c r="D140" s="228"/>
    </row>
    <row r="141" spans="2:6" x14ac:dyDescent="0.2">
      <c r="B141" s="228" t="str">
        <f>IF(Operations!A35="","",Operations!A35)</f>
        <v>Move Lg Rd</v>
      </c>
      <c r="C141" s="228" t="str">
        <f>IF(Materials!B35="","",Materials!B35)</f>
        <v>Corn Bt ECB</v>
      </c>
      <c r="D141" s="228"/>
    </row>
    <row r="142" spans="2:6" x14ac:dyDescent="0.2">
      <c r="B142" s="228" t="str">
        <f>IF(Operations!A36="","",Operations!A36)</f>
        <v>No-Till Drill</v>
      </c>
      <c r="C142" s="228" t="str">
        <f>IF(Materials!B36="","",Materials!B36)</f>
        <v>Corn Bt ECB&amp;RW</v>
      </c>
      <c r="D142" s="228"/>
    </row>
    <row r="143" spans="2:6" x14ac:dyDescent="0.2">
      <c r="B143" s="228" t="str">
        <f>IF(Operations!A37="","",Operations!A37)</f>
        <v>Pickett Windrowers</v>
      </c>
      <c r="C143" s="228" t="str">
        <f>IF(Materials!B37="","",Materials!B37)</f>
        <v>Corn Bt, ECB, RW &amp; RR2</v>
      </c>
      <c r="D143" s="228"/>
    </row>
    <row r="144" spans="2:6" x14ac:dyDescent="0.2">
      <c r="B144" s="228" t="str">
        <f>IF(Operations!A38="","",Operations!A38)</f>
        <v>Pipe D125’ Lift</v>
      </c>
      <c r="C144" s="228" t="str">
        <f>IF(Materials!B38="","",Materials!B38)</f>
        <v>Corn ECB &amp; RR2</v>
      </c>
      <c r="D144" s="228"/>
    </row>
    <row r="145" spans="2:4" x14ac:dyDescent="0.2">
      <c r="B145" s="228" t="str">
        <f>IF(Operations!A39="","",Operations!A39)</f>
        <v>PivotD 125’Lift</v>
      </c>
      <c r="C145" s="228" t="str">
        <f>IF(Materials!B39="","",Materials!B39)</f>
        <v>Corn RR2</v>
      </c>
      <c r="D145" s="228"/>
    </row>
    <row r="146" spans="2:4" x14ac:dyDescent="0.2">
      <c r="B146" s="228" t="str">
        <f>IF(Operations!A40="","",Operations!A40)</f>
        <v>PivotD 125’Lift w/fertigation</v>
      </c>
      <c r="C146" s="228" t="str">
        <f>IF(Materials!B40="","",Materials!B40)</f>
        <v xml:space="preserve">Corn SmartStax RIB Complete </v>
      </c>
      <c r="D146" s="228"/>
    </row>
    <row r="147" spans="2:4" x14ac:dyDescent="0.2">
      <c r="B147" s="228" t="str">
        <f>IF(Operations!A41="","",Operations!A41)</f>
        <v>PivotE 125’Lift</v>
      </c>
      <c r="C147" s="228" t="str">
        <f>IF(Materials!B41="","",Materials!B41)</f>
        <v>Cover Crop</v>
      </c>
      <c r="D147" s="228"/>
    </row>
    <row r="148" spans="2:4" x14ac:dyDescent="0.2">
      <c r="B148" s="228" t="str">
        <f>IF(Operations!A42="","",Operations!A42)</f>
        <v>PivotE 125’Lift w/fertigation</v>
      </c>
      <c r="C148" s="228" t="str">
        <f>IF(Materials!B42="","",Materials!B42)</f>
        <v>Cover Crop Legume</v>
      </c>
      <c r="D148" s="228"/>
    </row>
    <row r="149" spans="2:4" x14ac:dyDescent="0.2">
      <c r="B149" s="228" t="str">
        <f>IF(Operations!A43="","",Operations!A43)</f>
        <v>Plant</v>
      </c>
      <c r="C149" s="228" t="str">
        <f>IF(Materials!B43="","",Materials!B43)</f>
        <v>Crop Oil Concentrate</v>
      </c>
      <c r="D149" s="228"/>
    </row>
    <row r="150" spans="2:4" x14ac:dyDescent="0.2">
      <c r="B150" s="228" t="str">
        <f>IF(Operations!A44="","",Operations!A44)</f>
        <v>Plant Narrow Row</v>
      </c>
      <c r="C150" s="228" t="str">
        <f>IF(Materials!B44="","",Materials!B44)</f>
        <v>Dicamba</v>
      </c>
      <c r="D150" s="228"/>
    </row>
    <row r="151" spans="2:4" x14ac:dyDescent="0.2">
      <c r="B151" s="228" t="str">
        <f>IF(Operations!A45="","",Operations!A45)</f>
        <v>Plant No-Till</v>
      </c>
      <c r="C151" s="228" t="str">
        <f>IF(Materials!B45="","",Materials!B45)</f>
        <v>Distinct</v>
      </c>
      <c r="D151" s="228"/>
    </row>
    <row r="152" spans="2:4" x14ac:dyDescent="0.2">
      <c r="B152" s="228" t="str">
        <f>IF(Operations!A46="","",Operations!A46)</f>
        <v>Plow</v>
      </c>
      <c r="C152" s="228" t="str">
        <f>IF(Materials!B46="","",Materials!B46)</f>
        <v>Dry 2 Points Removed</v>
      </c>
      <c r="D152" s="228"/>
    </row>
    <row r="153" spans="2:4" x14ac:dyDescent="0.2">
      <c r="B153" s="228" t="str">
        <f>IF(Operations!A47="","",Operations!A47)</f>
        <v>Ridge Cultivate/Ditch</v>
      </c>
      <c r="C153" s="228" t="str">
        <f>IF(Materials!B47="","",Materials!B47)</f>
        <v>Edible Beans</v>
      </c>
      <c r="D153" s="228"/>
    </row>
    <row r="154" spans="2:4" x14ac:dyDescent="0.2">
      <c r="B154" s="228" t="str">
        <f>IF(Operations!A48="","",Operations!A48)</f>
        <v>Ridge Cultivation</v>
      </c>
      <c r="C154" s="228" t="str">
        <f>IF(Materials!B48="","",Materials!B48)</f>
        <v>Electricity Fixed</v>
      </c>
      <c r="D154" s="228"/>
    </row>
    <row r="155" spans="2:4" x14ac:dyDescent="0.2">
      <c r="B155" s="228" t="str">
        <f>IF(Operations!A49="","",Operations!A49)</f>
        <v>Ridge Plant</v>
      </c>
      <c r="C155" s="228" t="str">
        <f>IF(Materials!B49="","",Materials!B49)</f>
        <v>Electricity Usage</v>
      </c>
      <c r="D155" s="228"/>
    </row>
    <row r="156" spans="2:4" x14ac:dyDescent="0.2">
      <c r="B156" s="228" t="str">
        <f>IF(Operations!A50="","",Operations!A50)</f>
        <v>Ridge plant and band herb.</v>
      </c>
      <c r="C156" s="228" t="str">
        <f>IF(Materials!B50="","",Materials!B50)</f>
        <v>Expert</v>
      </c>
      <c r="D156" s="228"/>
    </row>
    <row r="157" spans="2:4" x14ac:dyDescent="0.2">
      <c r="B157" s="228" t="str">
        <f>IF(Operations!A51="","",Operations!A51)</f>
        <v>Rod Weeder</v>
      </c>
      <c r="C157" s="228" t="str">
        <f>IF(Materials!B51="","",Materials!B51)</f>
        <v>Fence/water repairs</v>
      </c>
      <c r="D157" s="228"/>
    </row>
    <row r="158" spans="2:4" x14ac:dyDescent="0.2">
      <c r="B158" s="228" t="str">
        <f>IF(Operations!A52="","",Operations!A52)</f>
        <v>Rod Weeder &amp; Fertilizer</v>
      </c>
      <c r="C158" s="228" t="str">
        <f>IF(Materials!B52="","",Materials!B52)</f>
        <v>Glyphosate w/Surf</v>
      </c>
      <c r="D158" s="228"/>
    </row>
    <row r="159" spans="2:4" x14ac:dyDescent="0.2">
      <c r="B159" s="228" t="str">
        <f>IF(Operations!A53="","",Operations!A53)</f>
        <v>Roll</v>
      </c>
      <c r="C159" s="228" t="str">
        <f>IF(Materials!B53="","",Materials!B53)</f>
        <v>Gramoxone SL</v>
      </c>
      <c r="D159" s="228"/>
    </row>
    <row r="160" spans="2:4" x14ac:dyDescent="0.2">
      <c r="B160" s="228" t="str">
        <f>IF(Operations!A54="","",Operations!A54)</f>
        <v>Roller Harrow</v>
      </c>
      <c r="C160" s="228" t="str">
        <f>IF(Materials!B54="","",Materials!B54)</f>
        <v>Grass Drill</v>
      </c>
      <c r="D160" s="228"/>
    </row>
    <row r="161" spans="2:4" x14ac:dyDescent="0.2">
      <c r="B161" s="228" t="str">
        <f>IF(Operations!A55="","",Operations!A55)</f>
        <v>Row Crop Cultivation</v>
      </c>
      <c r="C161" s="228" t="str">
        <f>IF(Materials!B55="","",Materials!B55)</f>
        <v>Grass Seed</v>
      </c>
      <c r="D161" s="228"/>
    </row>
    <row r="162" spans="2:4" x14ac:dyDescent="0.2">
      <c r="B162" s="228" t="str">
        <f>IF(Operations!A56="","",Operations!A56)</f>
        <v>Seeder/Packer</v>
      </c>
      <c r="C162" s="228" t="str">
        <f>IF(Materials!B56="","",Materials!B56)</f>
        <v>Haul &amp; Apply Manure</v>
      </c>
      <c r="D162" s="228"/>
    </row>
    <row r="163" spans="2:4" x14ac:dyDescent="0.2">
      <c r="B163" s="228" t="str">
        <f>IF(Operations!A57="","",Operations!A57)</f>
        <v>Spray</v>
      </c>
      <c r="C163" s="228" t="str">
        <f>IF(Materials!B57="","",Materials!B57)</f>
        <v>Haul Beets</v>
      </c>
      <c r="D163" s="228"/>
    </row>
    <row r="164" spans="2:4" x14ac:dyDescent="0.2">
      <c r="B164" s="228" t="str">
        <f>IF(Operations!A58="","",Operations!A58)</f>
        <v>Spray (on Disk)</v>
      </c>
      <c r="C164" s="228" t="str">
        <f>IF(Materials!B58="","",Materials!B58)</f>
        <v>Haul Grain (Dry Beans)</v>
      </c>
      <c r="D164" s="228"/>
    </row>
    <row r="165" spans="2:4" x14ac:dyDescent="0.2">
      <c r="B165" s="228" t="str">
        <f>IF(Operations!A59="","",Operations!A59)</f>
        <v>Spray (on Field Cultivator)</v>
      </c>
      <c r="C165" s="228" t="str">
        <f>IF(Materials!B59="","",Materials!B59)</f>
        <v>Haul Grain (Millet)</v>
      </c>
      <c r="D165" s="228"/>
    </row>
    <row r="166" spans="2:4" x14ac:dyDescent="0.2">
      <c r="B166" s="228" t="str">
        <f>IF(Operations!A60="","",Operations!A60)</f>
        <v>Spray (Prior Year Stubble)</v>
      </c>
      <c r="C166" s="228" t="str">
        <f>IF(Materials!B60="","",Materials!B60)</f>
        <v>Haul Grain (Sunflower)</v>
      </c>
      <c r="D166" s="228"/>
    </row>
    <row r="167" spans="2:4" x14ac:dyDescent="0.2">
      <c r="B167" s="228" t="str">
        <f>IF(Operations!A61="","",Operations!A61)</f>
        <v>Spray Fertilizer</v>
      </c>
      <c r="C167" s="228" t="str">
        <f>IF(Materials!B61="","",Materials!B61)</f>
        <v>Haul Grain bu</v>
      </c>
      <c r="D167" s="228"/>
    </row>
    <row r="168" spans="2:4" x14ac:dyDescent="0.2">
      <c r="B168" s="228" t="str">
        <f>IF(Operations!A62="","",Operations!A62)</f>
        <v>Spray fertilizer and herbicide</v>
      </c>
      <c r="C168" s="228" t="str">
        <f>IF(Materials!B62="","",Materials!B62)</f>
        <v>Headline AMP</v>
      </c>
      <c r="D168" s="228"/>
    </row>
    <row r="169" spans="2:4" x14ac:dyDescent="0.2">
      <c r="B169" s="228" t="str">
        <f>IF(Operations!A63="","",Operations!A63)</f>
        <v>Spread manure</v>
      </c>
      <c r="C169" s="228" t="str">
        <f>IF(Materials!B63="","",Materials!B63)</f>
        <v>Huskie</v>
      </c>
      <c r="D169" s="228"/>
    </row>
    <row r="170" spans="2:4" x14ac:dyDescent="0.2">
      <c r="B170" s="228" t="str">
        <f>IF(Operations!A64="","",Operations!A64)</f>
        <v>Spread, Fertilizer</v>
      </c>
      <c r="C170" s="228" t="str">
        <f>IF(Materials!B64="","",Materials!B64)</f>
        <v>Irrigation District O&amp;M Charge</v>
      </c>
      <c r="D170" s="228"/>
    </row>
    <row r="171" spans="2:4" x14ac:dyDescent="0.2">
      <c r="B171" s="228" t="str">
        <f>IF(Operations!A65="","",Operations!A65)</f>
        <v>Sm Sq Bale</v>
      </c>
      <c r="C171" s="228" t="str">
        <f>IF(Materials!B65="","",Materials!B65)</f>
        <v>Landmaster BW</v>
      </c>
      <c r="D171" s="228"/>
    </row>
    <row r="172" spans="2:4" x14ac:dyDescent="0.2">
      <c r="B172" s="228" t="str">
        <f>IF(Operations!A66="","",Operations!A66)</f>
        <v>Stack Sm Sq</v>
      </c>
      <c r="C172" s="228" t="str">
        <f>IF(Materials!B66="","",Materials!B66)</f>
        <v>Laudis</v>
      </c>
      <c r="D172" s="228"/>
    </row>
    <row r="173" spans="2:4" x14ac:dyDescent="0.2">
      <c r="B173" s="228" t="str">
        <f>IF(Operations!A67="","",Operations!A67)</f>
        <v>Subsoil</v>
      </c>
      <c r="C173" s="228" t="str">
        <f>IF(Materials!B67="","",Materials!B67)</f>
        <v>Load Large Square Bales</v>
      </c>
      <c r="D173" s="228"/>
    </row>
    <row r="174" spans="2:4" x14ac:dyDescent="0.2">
      <c r="B174" s="228" t="str">
        <f>IF(Operations!A68="","",Operations!A68)</f>
        <v>Till Plant Beets</v>
      </c>
      <c r="C174" s="228" t="str">
        <f>IF(Materials!B68="","",Materials!B68)</f>
        <v>Lorsban 15 G</v>
      </c>
      <c r="D174" s="228"/>
    </row>
    <row r="175" spans="2:4" x14ac:dyDescent="0.2">
      <c r="B175" s="228" t="str">
        <f>IF(Operations!A69="","",Operations!A69)</f>
        <v>Top Beets</v>
      </c>
      <c r="C175" s="228" t="str">
        <f>IF(Materials!B69="","",Materials!B69)</f>
        <v>Lorsban 4 E</v>
      </c>
      <c r="D175" s="228"/>
    </row>
    <row r="176" spans="2:4" x14ac:dyDescent="0.2">
      <c r="B176" s="228" t="str">
        <f>IF(Operations!A70="","",Operations!A70)</f>
        <v>Truck</v>
      </c>
      <c r="C176" s="228" t="str">
        <f>IF(Materials!B70="","",Materials!B70)</f>
        <v>Lumax EZ</v>
      </c>
      <c r="D176" s="228"/>
    </row>
    <row r="177" spans="2:4" x14ac:dyDescent="0.2">
      <c r="B177" s="228" t="str">
        <f>IF(Operations!A71="","",Operations!A71)</f>
        <v>Turn Windrows</v>
      </c>
      <c r="C177" s="228" t="str">
        <f>IF(Materials!B71="","",Materials!B71)</f>
        <v>Millet</v>
      </c>
      <c r="D177" s="228"/>
    </row>
    <row r="178" spans="2:4" x14ac:dyDescent="0.2">
      <c r="B178" s="228" t="str">
        <f>IF(Operations!A72="","",Operations!A72)</f>
        <v>Swath/Cond Hay</v>
      </c>
      <c r="C178" s="228" t="str">
        <f>IF(Materials!B72="","",Materials!B72)</f>
        <v>Move Cattle</v>
      </c>
      <c r="D178" s="228"/>
    </row>
    <row r="179" spans="2:4" x14ac:dyDescent="0.2">
      <c r="B179" s="228" t="str">
        <f>IF(Operations!A73="","",Operations!A73)</f>
        <v>Windrow Grain</v>
      </c>
      <c r="C179" s="228" t="str">
        <f>IF(Materials!B73="","",Materials!B73)</f>
        <v>Mustang Max EC</v>
      </c>
      <c r="D179" s="228"/>
    </row>
    <row r="180" spans="2:4" x14ac:dyDescent="0.2">
      <c r="B180" s="228" t="str">
        <f>IF(Operations!A74="","",Operations!A74)</f>
        <v/>
      </c>
      <c r="C180" s="228" t="str">
        <f>IF(Materials!B74="","",Materials!B74)</f>
        <v>NIS</v>
      </c>
      <c r="D180" s="228"/>
    </row>
    <row r="181" spans="2:4" x14ac:dyDescent="0.2">
      <c r="B181" s="228" t="str">
        <f>IF(Operations!A75="","",Operations!A75)</f>
        <v/>
      </c>
      <c r="C181" s="228" t="str">
        <f>IF(Materials!B75="","",Materials!B75)</f>
        <v>Oats</v>
      </c>
      <c r="D181" s="228"/>
    </row>
    <row r="182" spans="2:4" x14ac:dyDescent="0.2">
      <c r="B182" s="228" t="str">
        <f>IF(Operations!A76="","",Operations!A76)</f>
        <v/>
      </c>
      <c r="C182" s="228" t="str">
        <f>IF(Materials!B76="","",Materials!B76)</f>
        <v>Outlook</v>
      </c>
      <c r="D182" s="228"/>
    </row>
    <row r="183" spans="2:4" x14ac:dyDescent="0.2">
      <c r="B183" s="228" t="str">
        <f>IF(Operations!A77="","",Operations!A77)</f>
        <v/>
      </c>
      <c r="C183" s="228" t="str">
        <f>IF(Materials!B77="","",Materials!B77)</f>
        <v>Pea Seed Innoculent</v>
      </c>
      <c r="D183" s="228"/>
    </row>
    <row r="184" spans="2:4" x14ac:dyDescent="0.2">
      <c r="B184" s="228" t="str">
        <f>IF(Operations!A78="","",Operations!A78)</f>
        <v/>
      </c>
      <c r="C184" s="228" t="str">
        <f>IF(Materials!B78="","",Materials!B78)</f>
        <v>Peak</v>
      </c>
      <c r="D184" s="228"/>
    </row>
    <row r="185" spans="2:4" x14ac:dyDescent="0.2">
      <c r="B185" s="228" t="str">
        <f>IF(Operations!A79="","",Operations!A79)</f>
        <v/>
      </c>
      <c r="C185" s="228" t="str">
        <f>IF(Materials!B79="","",Materials!B79)</f>
        <v>Peas</v>
      </c>
      <c r="D185" s="228"/>
    </row>
    <row r="186" spans="2:4" x14ac:dyDescent="0.2">
      <c r="B186" s="228" t="str">
        <f>IF(Operations!A80="","",Operations!A80)</f>
        <v/>
      </c>
      <c r="C186" s="228" t="str">
        <f>IF(Materials!B80="","",Materials!B80)</f>
        <v>Priaxor</v>
      </c>
      <c r="D186" s="228"/>
    </row>
    <row r="187" spans="2:4" x14ac:dyDescent="0.2">
      <c r="B187" s="228" t="str">
        <f>IF(Operations!A81="","",Operations!A81)</f>
        <v/>
      </c>
      <c r="C187" s="228" t="str">
        <f>IF(Materials!B81="","",Materials!B81)</f>
        <v>Prowl H2O</v>
      </c>
      <c r="D187" s="228"/>
    </row>
    <row r="188" spans="2:4" x14ac:dyDescent="0.2">
      <c r="B188" s="228" t="str">
        <f>IF(Operations!A82="","",Operations!A82)</f>
        <v/>
      </c>
      <c r="C188" s="228" t="str">
        <f>IF(Materials!B82="","",Materials!B82)</f>
        <v xml:space="preserve">Pursuit </v>
      </c>
      <c r="D188" s="228"/>
    </row>
    <row r="189" spans="2:4" x14ac:dyDescent="0.2">
      <c r="B189" s="228" t="str">
        <f>IF(Operations!A83="","",Operations!A83)</f>
        <v/>
      </c>
      <c r="C189" s="228" t="str">
        <f>IF(Materials!B83="","",Materials!B83)</f>
        <v>Quadris</v>
      </c>
      <c r="D189" s="228"/>
    </row>
    <row r="190" spans="2:4" x14ac:dyDescent="0.2">
      <c r="B190" s="228" t="str">
        <f>IF(Operations!A84="","",Operations!A84)</f>
        <v/>
      </c>
      <c r="C190" s="228" t="str">
        <f>IF(Materials!B84="","",Materials!B84)</f>
        <v>Quilt Xcel</v>
      </c>
      <c r="D190" s="228"/>
    </row>
    <row r="191" spans="2:4" x14ac:dyDescent="0.2">
      <c r="B191" s="228" t="str">
        <f>IF(Operations!A85="","",Operations!A85)</f>
        <v/>
      </c>
      <c r="C191" s="228" t="str">
        <f>IF(Materials!B85="","",Materials!B85)</f>
        <v>Raptor</v>
      </c>
      <c r="D191" s="228"/>
    </row>
    <row r="192" spans="2:4" x14ac:dyDescent="0.2">
      <c r="B192" s="228" t="str">
        <f>IF(Operations!A86="","",Operations!A86)</f>
        <v/>
      </c>
      <c r="C192" s="228" t="str">
        <f>IF(Materials!B86="","",Materials!B86)</f>
        <v>Regent 4 SC</v>
      </c>
      <c r="D192" s="228"/>
    </row>
    <row r="193" spans="2:4" x14ac:dyDescent="0.2">
      <c r="B193" s="228" t="str">
        <f>IF(Operations!A87="","",Operations!A87)</f>
        <v/>
      </c>
      <c r="C193" s="228" t="str">
        <f>IF(Materials!B87="","",Materials!B87)</f>
        <v>Roundup WeatherMax</v>
      </c>
      <c r="D193" s="228"/>
    </row>
    <row r="194" spans="2:4" x14ac:dyDescent="0.2">
      <c r="B194" s="228" t="str">
        <f>IF(Operations!A88="","",Operations!A88)</f>
        <v/>
      </c>
      <c r="C194" s="228" t="str">
        <f>IF(Materials!B88="","",Materials!B88)</f>
        <v>RR Soybeans</v>
      </c>
      <c r="D194" s="228"/>
    </row>
    <row r="195" spans="2:4" x14ac:dyDescent="0.2">
      <c r="B195" s="228" t="str">
        <f>IF(Operations!A89="","",Operations!A89)</f>
        <v/>
      </c>
      <c r="C195" s="228" t="str">
        <f>IF(Materials!B89="","",Materials!B89)</f>
        <v>RR Soybeans Treated</v>
      </c>
      <c r="D195" s="228"/>
    </row>
    <row r="196" spans="2:4" x14ac:dyDescent="0.2">
      <c r="B196" s="228" t="str">
        <f>IF(Operations!A90="","",Operations!A90)</f>
        <v/>
      </c>
      <c r="C196" s="228" t="str">
        <f>IF(Materials!B90="","",Materials!B90)</f>
        <v>RR2 Soybeans</v>
      </c>
      <c r="D196" s="228"/>
    </row>
    <row r="197" spans="2:4" x14ac:dyDescent="0.2">
      <c r="B197" s="228" t="str">
        <f>IF(Operations!A91="","",Operations!A91)</f>
        <v/>
      </c>
      <c r="C197" s="228" t="str">
        <f>IF(Materials!B91="","",Materials!B91)</f>
        <v>RR2 Soybeans Treated</v>
      </c>
      <c r="D197" s="228"/>
    </row>
    <row r="198" spans="2:4" x14ac:dyDescent="0.2">
      <c r="B198" s="228" t="str">
        <f>IF(Operations!A92="","",Operations!A92)</f>
        <v/>
      </c>
      <c r="C198" s="228" t="str">
        <f>IF(Materials!B92="","",Materials!B92)</f>
        <v>Rugged</v>
      </c>
      <c r="D198" s="228"/>
    </row>
    <row r="199" spans="2:4" x14ac:dyDescent="0.2">
      <c r="B199" s="228" t="str">
        <f>IF(Operations!A93="","",Operations!A93)</f>
        <v/>
      </c>
      <c r="C199" s="228" t="str">
        <f>IF(Materials!B93="","",Materials!B93)</f>
        <v>Scouting Drybeans</v>
      </c>
      <c r="D199" s="228"/>
    </row>
    <row r="200" spans="2:4" x14ac:dyDescent="0.2">
      <c r="B200" s="228" t="str">
        <f>IF(Operations!A94="","",Operations!A94)</f>
        <v/>
      </c>
      <c r="C200" s="228" t="str">
        <f>IF(Materials!B94="","",Materials!B94)</f>
        <v>Scouting Dryland Corn</v>
      </c>
      <c r="D200" s="228"/>
    </row>
    <row r="201" spans="2:4" x14ac:dyDescent="0.2">
      <c r="B201" s="228" t="str">
        <f>IF(Operations!A95="","",Operations!A95)</f>
        <v/>
      </c>
      <c r="C201" s="228" t="str">
        <f>IF(Materials!B95="","",Materials!B95)</f>
        <v>Scouting Dryland Soybeans</v>
      </c>
      <c r="D201" s="228"/>
    </row>
    <row r="202" spans="2:4" x14ac:dyDescent="0.2">
      <c r="B202" s="228" t="str">
        <f>IF(Operations!A96="","",Operations!A96)</f>
        <v/>
      </c>
      <c r="C202" s="228" t="str">
        <f>IF(Materials!B96="","",Materials!B96)</f>
        <v>Scouting Grain Sorghum</v>
      </c>
      <c r="D202" s="228"/>
    </row>
    <row r="203" spans="2:4" x14ac:dyDescent="0.2">
      <c r="B203" s="228" t="str">
        <f>IF(Operations!A97="","",Operations!A97)</f>
        <v/>
      </c>
      <c r="C203" s="228" t="str">
        <f>IF(Materials!B97="","",Materials!B97)</f>
        <v>Scouting Irrigated Corn</v>
      </c>
      <c r="D203" s="228"/>
    </row>
    <row r="204" spans="2:4" x14ac:dyDescent="0.2">
      <c r="B204" s="228" t="str">
        <f>IF(Operations!A98="","",Operations!A98)</f>
        <v/>
      </c>
      <c r="C204" s="228" t="str">
        <f>IF(Materials!B98="","",Materials!B98)</f>
        <v>Scouting Irrigated SB</v>
      </c>
      <c r="D204" s="228"/>
    </row>
    <row r="205" spans="2:4" x14ac:dyDescent="0.2">
      <c r="B205" s="228" t="str">
        <f>IF(Operations!A99="","",Operations!A99)</f>
        <v/>
      </c>
      <c r="C205" s="228" t="str">
        <f>IF(Materials!B99="","",Materials!B99)</f>
        <v>Scouting Sugar Beets</v>
      </c>
      <c r="D205" s="228"/>
    </row>
    <row r="206" spans="2:4" x14ac:dyDescent="0.2">
      <c r="B206" s="228" t="str">
        <f>IF(Operations!A100="","",Operations!A100)</f>
        <v/>
      </c>
      <c r="C206" s="228" t="str">
        <f>IF(Materials!B100="","",Materials!B100)</f>
        <v>Scouting Wheat</v>
      </c>
      <c r="D206" s="228"/>
    </row>
    <row r="207" spans="2:4" x14ac:dyDescent="0.2">
      <c r="B207" s="228" t="str">
        <f>IF(Operations!A101="","",Operations!A101)</f>
        <v/>
      </c>
      <c r="C207" s="228" t="str">
        <f>IF(Materials!B101="","",Materials!B101)</f>
        <v>Seeder-Packer</v>
      </c>
      <c r="D207" s="228"/>
    </row>
    <row r="208" spans="2:4" x14ac:dyDescent="0.2">
      <c r="C208" s="228" t="str">
        <f>IF(Materials!B102="","",Materials!B102)</f>
        <v>Select Max</v>
      </c>
      <c r="D208" s="228"/>
    </row>
    <row r="209" spans="3:4" x14ac:dyDescent="0.2">
      <c r="C209" s="228" t="str">
        <f>IF(Materials!B103="","",Materials!B103)</f>
        <v>Sharpen</v>
      </c>
      <c r="D209" s="228"/>
    </row>
    <row r="210" spans="3:4" x14ac:dyDescent="0.2">
      <c r="C210" s="228" t="str">
        <f>IF(Materials!B104="","",Materials!B104)</f>
        <v>Sorghum Safened/Insect</v>
      </c>
      <c r="D210" s="228"/>
    </row>
    <row r="211" spans="3:4" x14ac:dyDescent="0.2">
      <c r="C211" s="228" t="str">
        <f>IF(Materials!B105="","",Materials!B105)</f>
        <v>Sorghum Sudan</v>
      </c>
      <c r="D211" s="228"/>
    </row>
    <row r="212" spans="3:4" x14ac:dyDescent="0.2">
      <c r="C212" s="228" t="str">
        <f>IF(Materials!B106="","",Materials!B106)</f>
        <v>Spartan 4F</v>
      </c>
      <c r="D212" s="228"/>
    </row>
    <row r="213" spans="3:4" x14ac:dyDescent="0.2">
      <c r="C213" s="228" t="str">
        <f>IF(Materials!B107="","",Materials!B107)</f>
        <v>Spirit</v>
      </c>
      <c r="D213" s="228"/>
    </row>
    <row r="214" spans="3:4" x14ac:dyDescent="0.2">
      <c r="C214" s="228" t="str">
        <f>IF(Materials!B108="","",Materials!B108)</f>
        <v>Spray</v>
      </c>
      <c r="D214" s="228"/>
    </row>
    <row r="215" spans="3:4" x14ac:dyDescent="0.2">
      <c r="C215" s="228" t="str">
        <f>IF(Materials!B109="","",Materials!B109)</f>
        <v>Status</v>
      </c>
      <c r="D215" s="228"/>
    </row>
    <row r="216" spans="3:4" x14ac:dyDescent="0.2">
      <c r="C216" s="228" t="str">
        <f>IF(Materials!B110="","",Materials!B110)</f>
        <v>Stratego YLD</v>
      </c>
      <c r="D216" s="228"/>
    </row>
    <row r="217" spans="3:4" x14ac:dyDescent="0.2">
      <c r="C217" s="228" t="str">
        <f>IF(Materials!B111="","",Materials!B111)</f>
        <v>Sugar Beets RR Poncho</v>
      </c>
      <c r="D217" s="228"/>
    </row>
    <row r="218" spans="3:4" x14ac:dyDescent="0.2">
      <c r="C218" s="228" t="str">
        <f>IF(Materials!B112="","",Materials!B112)</f>
        <v>Sunflower</v>
      </c>
      <c r="D218" s="228"/>
    </row>
    <row r="219" spans="3:4" x14ac:dyDescent="0.2">
      <c r="C219" s="228" t="str">
        <f>IF(Materials!B113="","",Materials!B113)</f>
        <v>Tilt</v>
      </c>
      <c r="D219" s="228"/>
    </row>
    <row r="220" spans="3:4" x14ac:dyDescent="0.2">
      <c r="C220" s="228" t="str">
        <f>IF(Materials!B114="","",Materials!B114)</f>
        <v>Twine Lg Rd</v>
      </c>
      <c r="D220" s="228"/>
    </row>
    <row r="221" spans="3:4" x14ac:dyDescent="0.2">
      <c r="C221" s="228" t="str">
        <f>IF(Materials!B115="","",Materials!B115)</f>
        <v>Twine Lg Sq</v>
      </c>
      <c r="D221" s="228"/>
    </row>
    <row r="222" spans="3:4" x14ac:dyDescent="0.2">
      <c r="C222" s="228" t="str">
        <f>IF(Materials!B116="","",Materials!B116)</f>
        <v>Twine Sm Sq</v>
      </c>
      <c r="D222" s="228"/>
    </row>
    <row r="223" spans="3:4" x14ac:dyDescent="0.2">
      <c r="C223" s="228" t="str">
        <f>IF(Materials!B117="","",Materials!B117)</f>
        <v>Uncomposted manure</v>
      </c>
      <c r="D223" s="228"/>
    </row>
    <row r="224" spans="3:4" x14ac:dyDescent="0.2">
      <c r="C224" s="228" t="str">
        <f>IF(Materials!B119="","",Materials!B119)</f>
        <v>Velpar 75DF</v>
      </c>
      <c r="D224" s="228"/>
    </row>
    <row r="225" spans="3:4" x14ac:dyDescent="0.2">
      <c r="C225" s="228" t="str">
        <f>IF(Materials!B120="","",Materials!B120)</f>
        <v>Vida</v>
      </c>
      <c r="D225" s="228"/>
    </row>
    <row r="226" spans="3:4" x14ac:dyDescent="0.2">
      <c r="C226" s="228" t="str">
        <f>IF(Materials!B121="","",Materials!B121)</f>
        <v>Warrior II/Zeon</v>
      </c>
      <c r="D226" s="228"/>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1"/>
    <col min="2" max="2" width="26.85546875" style="161" customWidth="1"/>
    <col min="3" max="3" width="13.85546875" style="161" customWidth="1"/>
    <col min="4" max="4" width="9.5703125" style="161" customWidth="1"/>
    <col min="5" max="5" width="9.28515625" style="161" customWidth="1"/>
    <col min="6" max="6" width="13.28515625" style="161" customWidth="1"/>
    <col min="7" max="7" width="16" style="162" customWidth="1"/>
    <col min="8" max="8" width="9.42578125" style="161" customWidth="1"/>
    <col min="9" max="16384" width="9.140625" style="161"/>
  </cols>
  <sheetData>
    <row r="1" spans="1:10" s="160" customFormat="1" ht="26.25" customHeight="1" x14ac:dyDescent="0.2">
      <c r="A1" s="158" t="s">
        <v>467</v>
      </c>
      <c r="B1" s="159" t="s">
        <v>4</v>
      </c>
      <c r="C1" s="159" t="s">
        <v>5</v>
      </c>
      <c r="D1" s="159" t="s">
        <v>66</v>
      </c>
      <c r="E1" s="159" t="s">
        <v>67</v>
      </c>
      <c r="F1" s="159" t="s">
        <v>68</v>
      </c>
      <c r="G1" s="159" t="s">
        <v>70</v>
      </c>
      <c r="H1" s="159" t="s">
        <v>69</v>
      </c>
    </row>
    <row r="2" spans="1:10" ht="12.75" customHeight="1" x14ac:dyDescent="0.2">
      <c r="A2" s="161">
        <v>1</v>
      </c>
      <c r="B2" s="188" t="s">
        <v>6</v>
      </c>
      <c r="C2" s="167" t="s">
        <v>7</v>
      </c>
      <c r="D2" s="168">
        <v>3.3</v>
      </c>
      <c r="E2" s="169" t="s">
        <v>439</v>
      </c>
      <c r="F2" s="167" t="s">
        <v>439</v>
      </c>
      <c r="G2" s="166">
        <v>1</v>
      </c>
      <c r="H2" s="163">
        <f t="shared" ref="H2:H33" si="0">IF(G2=0,0,D2/G2)</f>
        <v>3.3</v>
      </c>
    </row>
    <row r="3" spans="1:10" ht="12.75" customHeight="1" x14ac:dyDescent="0.2">
      <c r="A3" s="161">
        <v>2</v>
      </c>
      <c r="B3" s="180" t="s">
        <v>8</v>
      </c>
      <c r="C3" s="181" t="s">
        <v>7</v>
      </c>
      <c r="D3" s="182">
        <v>3.35</v>
      </c>
      <c r="E3" s="183" t="s">
        <v>439</v>
      </c>
      <c r="F3" s="181" t="s">
        <v>439</v>
      </c>
      <c r="G3" s="179">
        <v>1</v>
      </c>
      <c r="H3" s="163">
        <f t="shared" si="0"/>
        <v>3.35</v>
      </c>
      <c r="J3" s="164"/>
    </row>
    <row r="4" spans="1:10" ht="12.75" customHeight="1" x14ac:dyDescent="0.2">
      <c r="A4" s="161">
        <v>3</v>
      </c>
      <c r="B4" s="186" t="s">
        <v>9</v>
      </c>
      <c r="C4" s="165" t="s">
        <v>7</v>
      </c>
      <c r="D4" s="85">
        <v>0.3</v>
      </c>
      <c r="E4" s="165" t="s">
        <v>440</v>
      </c>
      <c r="F4" s="165" t="s">
        <v>440</v>
      </c>
      <c r="G4" s="166">
        <v>1</v>
      </c>
      <c r="H4" s="163">
        <f t="shared" si="0"/>
        <v>0.3</v>
      </c>
      <c r="J4" s="164"/>
    </row>
    <row r="5" spans="1:10" ht="12.75" customHeight="1" x14ac:dyDescent="0.2">
      <c r="A5" s="161">
        <v>4</v>
      </c>
      <c r="B5" s="180" t="s">
        <v>10</v>
      </c>
      <c r="C5" s="181" t="s">
        <v>11</v>
      </c>
      <c r="D5" s="184">
        <v>16</v>
      </c>
      <c r="E5" s="178" t="s">
        <v>439</v>
      </c>
      <c r="F5" s="181" t="s">
        <v>442</v>
      </c>
      <c r="G5" s="179">
        <v>8</v>
      </c>
      <c r="H5" s="163">
        <f t="shared" si="0"/>
        <v>2</v>
      </c>
      <c r="J5" s="164"/>
    </row>
    <row r="6" spans="1:10" ht="12.75" customHeight="1" x14ac:dyDescent="0.2">
      <c r="A6" s="161">
        <v>5</v>
      </c>
      <c r="B6" s="180" t="s">
        <v>12</v>
      </c>
      <c r="C6" s="181" t="s">
        <v>11</v>
      </c>
      <c r="D6" s="184">
        <v>21.5</v>
      </c>
      <c r="E6" s="178" t="s">
        <v>439</v>
      </c>
      <c r="F6" s="181" t="s">
        <v>442</v>
      </c>
      <c r="G6" s="179">
        <v>8</v>
      </c>
      <c r="H6" s="163">
        <f t="shared" si="0"/>
        <v>2.6875</v>
      </c>
      <c r="J6" s="164"/>
    </row>
    <row r="7" spans="1:10" ht="12.75" customHeight="1" x14ac:dyDescent="0.2">
      <c r="A7" s="161">
        <v>6</v>
      </c>
      <c r="B7" s="187" t="s">
        <v>497</v>
      </c>
      <c r="C7" s="167" t="s">
        <v>529</v>
      </c>
      <c r="D7" s="168">
        <v>0.33</v>
      </c>
      <c r="E7" s="169" t="s">
        <v>440</v>
      </c>
      <c r="F7" s="171" t="s">
        <v>440</v>
      </c>
      <c r="G7" s="166">
        <v>1</v>
      </c>
      <c r="H7" s="163">
        <f t="shared" si="0"/>
        <v>0.33</v>
      </c>
      <c r="J7" s="164"/>
    </row>
    <row r="8" spans="1:10" ht="12.75" customHeight="1" x14ac:dyDescent="0.2">
      <c r="A8" s="161">
        <v>7</v>
      </c>
      <c r="B8" s="180" t="s">
        <v>13</v>
      </c>
      <c r="C8" s="181" t="s">
        <v>7</v>
      </c>
      <c r="D8" s="182">
        <v>1.7</v>
      </c>
      <c r="E8" s="183" t="s">
        <v>439</v>
      </c>
      <c r="F8" s="185" t="s">
        <v>446</v>
      </c>
      <c r="G8" s="179">
        <v>3</v>
      </c>
      <c r="H8" s="163">
        <f t="shared" si="0"/>
        <v>0.56666666666666665</v>
      </c>
      <c r="J8" s="164"/>
    </row>
    <row r="9" spans="1:10" ht="12.75" customHeight="1" x14ac:dyDescent="0.2">
      <c r="A9" s="161">
        <v>8</v>
      </c>
      <c r="B9" s="177" t="s">
        <v>448</v>
      </c>
      <c r="C9" s="178" t="s">
        <v>7</v>
      </c>
      <c r="D9" s="85">
        <v>0.55000000000000004</v>
      </c>
      <c r="E9" s="178" t="s">
        <v>446</v>
      </c>
      <c r="F9" s="178" t="s">
        <v>446</v>
      </c>
      <c r="G9" s="179">
        <v>1</v>
      </c>
      <c r="H9" s="163">
        <f t="shared" si="0"/>
        <v>0.55000000000000004</v>
      </c>
      <c r="J9" s="164"/>
    </row>
    <row r="10" spans="1:10" ht="12.75" customHeight="1" x14ac:dyDescent="0.2">
      <c r="A10" s="161">
        <v>9</v>
      </c>
      <c r="B10" s="209" t="s">
        <v>557</v>
      </c>
      <c r="C10" s="206" t="s">
        <v>7</v>
      </c>
      <c r="D10" s="85">
        <v>0.55000000000000004</v>
      </c>
      <c r="E10" s="206" t="s">
        <v>446</v>
      </c>
      <c r="F10" s="178" t="s">
        <v>446</v>
      </c>
      <c r="G10" s="179">
        <v>1</v>
      </c>
      <c r="H10" s="163">
        <f t="shared" si="0"/>
        <v>0.55000000000000004</v>
      </c>
      <c r="J10" s="164"/>
    </row>
    <row r="11" spans="1:10" ht="12.75" customHeight="1" x14ac:dyDescent="0.2">
      <c r="A11" s="161">
        <v>10</v>
      </c>
      <c r="B11" s="209" t="s">
        <v>538</v>
      </c>
      <c r="C11" s="206" t="s">
        <v>7</v>
      </c>
      <c r="D11" s="85">
        <v>0.55000000000000004</v>
      </c>
      <c r="E11" s="206" t="s">
        <v>446</v>
      </c>
      <c r="F11" s="178" t="s">
        <v>446</v>
      </c>
      <c r="G11" s="179">
        <v>1</v>
      </c>
      <c r="H11" s="163">
        <f t="shared" si="0"/>
        <v>0.55000000000000004</v>
      </c>
      <c r="J11" s="164"/>
    </row>
    <row r="12" spans="1:10" ht="12.75" customHeight="1" x14ac:dyDescent="0.2">
      <c r="A12" s="161">
        <v>11</v>
      </c>
      <c r="B12" s="187" t="s">
        <v>599</v>
      </c>
      <c r="C12" s="167" t="s">
        <v>529</v>
      </c>
      <c r="D12" s="168">
        <v>1.95</v>
      </c>
      <c r="E12" s="169" t="s">
        <v>439</v>
      </c>
      <c r="F12" s="167" t="s">
        <v>443</v>
      </c>
      <c r="G12" s="166">
        <v>5</v>
      </c>
      <c r="H12" s="163">
        <f t="shared" si="0"/>
        <v>0.39</v>
      </c>
      <c r="J12" s="164"/>
    </row>
    <row r="13" spans="1:10" ht="12.75" customHeight="1" x14ac:dyDescent="0.2">
      <c r="A13" s="161">
        <v>12</v>
      </c>
      <c r="B13" s="180" t="s">
        <v>14</v>
      </c>
      <c r="C13" s="181" t="s">
        <v>7</v>
      </c>
      <c r="D13" s="182">
        <v>0.56999999999999995</v>
      </c>
      <c r="E13" s="183" t="s">
        <v>74</v>
      </c>
      <c r="F13" s="185" t="s">
        <v>446</v>
      </c>
      <c r="G13" s="179">
        <v>1</v>
      </c>
      <c r="H13" s="163">
        <f t="shared" si="0"/>
        <v>0.56999999999999995</v>
      </c>
      <c r="J13" s="164"/>
    </row>
    <row r="14" spans="1:10" ht="12.75" customHeight="1" x14ac:dyDescent="0.2">
      <c r="A14" s="161">
        <v>13</v>
      </c>
      <c r="B14" s="180" t="s">
        <v>15</v>
      </c>
      <c r="C14" s="181" t="s">
        <v>7</v>
      </c>
      <c r="D14" s="182">
        <v>0.46</v>
      </c>
      <c r="E14" s="181" t="s">
        <v>74</v>
      </c>
      <c r="F14" s="185" t="s">
        <v>446</v>
      </c>
      <c r="G14" s="179">
        <v>1</v>
      </c>
      <c r="H14" s="163">
        <f t="shared" si="0"/>
        <v>0.46</v>
      </c>
    </row>
    <row r="15" spans="1:10" ht="12.75" customHeight="1" x14ac:dyDescent="0.2">
      <c r="A15" s="161">
        <v>14</v>
      </c>
      <c r="B15" s="180" t="s">
        <v>16</v>
      </c>
      <c r="C15" s="181" t="s">
        <v>11</v>
      </c>
      <c r="D15" s="184">
        <v>21</v>
      </c>
      <c r="E15" s="178" t="s">
        <v>439</v>
      </c>
      <c r="F15" s="181" t="s">
        <v>443</v>
      </c>
      <c r="G15" s="179">
        <v>4</v>
      </c>
      <c r="H15" s="163">
        <f t="shared" si="0"/>
        <v>5.25</v>
      </c>
      <c r="J15" s="164"/>
    </row>
    <row r="16" spans="1:10" ht="12.75" customHeight="1" x14ac:dyDescent="0.2">
      <c r="A16" s="161">
        <v>15</v>
      </c>
      <c r="B16" s="180" t="s">
        <v>17</v>
      </c>
      <c r="C16" s="181" t="s">
        <v>3</v>
      </c>
      <c r="D16" s="182">
        <v>9.5</v>
      </c>
      <c r="E16" s="183" t="s">
        <v>71</v>
      </c>
      <c r="F16" s="181" t="s">
        <v>71</v>
      </c>
      <c r="G16" s="179">
        <v>1</v>
      </c>
      <c r="H16" s="163">
        <f t="shared" si="0"/>
        <v>9.5</v>
      </c>
      <c r="J16" s="164"/>
    </row>
    <row r="17" spans="1:10" ht="12.75" customHeight="1" x14ac:dyDescent="0.2">
      <c r="A17" s="161">
        <v>16</v>
      </c>
      <c r="B17" s="187" t="s">
        <v>472</v>
      </c>
      <c r="C17" s="167" t="s">
        <v>11</v>
      </c>
      <c r="D17" s="85">
        <v>240</v>
      </c>
      <c r="E17" s="165" t="s">
        <v>443</v>
      </c>
      <c r="F17" s="167" t="s">
        <v>441</v>
      </c>
      <c r="G17" s="166">
        <v>32</v>
      </c>
      <c r="H17" s="163">
        <f t="shared" si="0"/>
        <v>7.5</v>
      </c>
      <c r="J17" s="164"/>
    </row>
    <row r="18" spans="1:10" ht="12.75" customHeight="1" x14ac:dyDescent="0.2">
      <c r="A18" s="161">
        <v>17</v>
      </c>
      <c r="B18" s="177" t="s">
        <v>532</v>
      </c>
      <c r="C18" s="178" t="s">
        <v>19</v>
      </c>
      <c r="D18" s="85">
        <v>9</v>
      </c>
      <c r="E18" s="178" t="s">
        <v>440</v>
      </c>
      <c r="F18" s="178" t="s">
        <v>440</v>
      </c>
      <c r="G18" s="179">
        <v>1</v>
      </c>
      <c r="H18" s="163">
        <f t="shared" si="0"/>
        <v>9</v>
      </c>
    </row>
    <row r="19" spans="1:10" ht="12.75" customHeight="1" x14ac:dyDescent="0.2">
      <c r="A19" s="161">
        <v>18</v>
      </c>
      <c r="B19" s="180" t="s">
        <v>18</v>
      </c>
      <c r="C19" s="181" t="s">
        <v>19</v>
      </c>
      <c r="D19" s="182">
        <v>6</v>
      </c>
      <c r="E19" s="183" t="s">
        <v>440</v>
      </c>
      <c r="F19" s="181" t="s">
        <v>440</v>
      </c>
      <c r="G19" s="179">
        <v>1</v>
      </c>
      <c r="H19" s="163">
        <f t="shared" si="0"/>
        <v>6</v>
      </c>
      <c r="J19" s="164"/>
    </row>
    <row r="20" spans="1:10" ht="12.75" customHeight="1" x14ac:dyDescent="0.2">
      <c r="A20" s="161">
        <v>19</v>
      </c>
      <c r="B20" s="180" t="s">
        <v>490</v>
      </c>
      <c r="C20" s="181" t="s">
        <v>11</v>
      </c>
      <c r="D20" s="184">
        <v>9</v>
      </c>
      <c r="E20" s="178" t="s">
        <v>441</v>
      </c>
      <c r="F20" s="185" t="s">
        <v>441</v>
      </c>
      <c r="G20" s="179">
        <v>1</v>
      </c>
      <c r="H20" s="163">
        <f t="shared" si="0"/>
        <v>9</v>
      </c>
      <c r="J20" s="164"/>
    </row>
    <row r="21" spans="1:10" ht="12.75" customHeight="1" x14ac:dyDescent="0.2">
      <c r="A21" s="161">
        <v>20</v>
      </c>
      <c r="B21" s="177" t="s">
        <v>450</v>
      </c>
      <c r="C21" s="178" t="s">
        <v>21</v>
      </c>
      <c r="D21" s="184">
        <v>80</v>
      </c>
      <c r="E21" s="178" t="s">
        <v>439</v>
      </c>
      <c r="F21" s="178" t="s">
        <v>441</v>
      </c>
      <c r="G21" s="179">
        <v>128</v>
      </c>
      <c r="H21" s="163">
        <f t="shared" si="0"/>
        <v>0.625</v>
      </c>
      <c r="J21" s="164"/>
    </row>
    <row r="22" spans="1:10" ht="12.75" customHeight="1" x14ac:dyDescent="0.2">
      <c r="A22" s="161">
        <v>21</v>
      </c>
      <c r="B22" s="298" t="s">
        <v>595</v>
      </c>
      <c r="C22" s="181" t="s">
        <v>11</v>
      </c>
      <c r="D22" s="182">
        <v>14.5</v>
      </c>
      <c r="E22" s="183" t="s">
        <v>439</v>
      </c>
      <c r="F22" s="181" t="s">
        <v>443</v>
      </c>
      <c r="G22" s="179">
        <v>4</v>
      </c>
      <c r="H22" s="163">
        <f t="shared" si="0"/>
        <v>3.625</v>
      </c>
      <c r="J22" s="164"/>
    </row>
    <row r="23" spans="1:10" ht="12.75" customHeight="1" x14ac:dyDescent="0.2">
      <c r="A23" s="161">
        <v>22</v>
      </c>
      <c r="B23" s="209" t="s">
        <v>537</v>
      </c>
      <c r="C23" s="206" t="s">
        <v>11</v>
      </c>
      <c r="D23" s="85">
        <v>3.25</v>
      </c>
      <c r="E23" s="206" t="s">
        <v>440</v>
      </c>
      <c r="F23" s="206" t="s">
        <v>440</v>
      </c>
      <c r="G23" s="166">
        <v>1</v>
      </c>
      <c r="H23" s="163">
        <f t="shared" si="0"/>
        <v>3.25</v>
      </c>
    </row>
    <row r="24" spans="1:10" ht="12.75" customHeight="1" x14ac:dyDescent="0.2">
      <c r="A24" s="161">
        <v>23</v>
      </c>
      <c r="B24" s="191" t="s">
        <v>491</v>
      </c>
      <c r="C24" s="181" t="s">
        <v>11</v>
      </c>
      <c r="D24" s="184">
        <v>90</v>
      </c>
      <c r="E24" s="178" t="s">
        <v>440</v>
      </c>
      <c r="F24" s="181" t="s">
        <v>441</v>
      </c>
      <c r="G24" s="179">
        <v>16</v>
      </c>
      <c r="H24" s="163">
        <f t="shared" si="0"/>
        <v>5.625</v>
      </c>
      <c r="J24" s="164"/>
    </row>
    <row r="25" spans="1:10" ht="12.75" customHeight="1" x14ac:dyDescent="0.2">
      <c r="A25" s="161">
        <v>24</v>
      </c>
      <c r="B25" s="177" t="s">
        <v>401</v>
      </c>
      <c r="C25" s="178" t="s">
        <v>11</v>
      </c>
      <c r="D25" s="184">
        <v>6</v>
      </c>
      <c r="E25" s="178" t="s">
        <v>441</v>
      </c>
      <c r="F25" s="178" t="s">
        <v>441</v>
      </c>
      <c r="G25" s="179">
        <v>1</v>
      </c>
      <c r="H25" s="163">
        <f t="shared" si="0"/>
        <v>6</v>
      </c>
      <c r="J25" s="164"/>
    </row>
    <row r="26" spans="1:10" ht="12.75" customHeight="1" x14ac:dyDescent="0.2">
      <c r="A26" s="161">
        <v>25</v>
      </c>
      <c r="B26" s="188" t="s">
        <v>577</v>
      </c>
      <c r="C26" s="167" t="s">
        <v>3</v>
      </c>
      <c r="D26" s="168">
        <v>13</v>
      </c>
      <c r="E26" s="169" t="s">
        <v>72</v>
      </c>
      <c r="F26" s="167" t="s">
        <v>64</v>
      </c>
      <c r="G26" s="166">
        <f>1360/2000</f>
        <v>0.68</v>
      </c>
      <c r="H26" s="163">
        <f t="shared" si="0"/>
        <v>19.117647058823529</v>
      </c>
      <c r="J26" s="164"/>
    </row>
    <row r="27" spans="1:10" ht="12.75" customHeight="1" x14ac:dyDescent="0.2">
      <c r="A27" s="161">
        <v>26</v>
      </c>
      <c r="B27" s="177" t="s">
        <v>449</v>
      </c>
      <c r="C27" s="178" t="s">
        <v>11</v>
      </c>
      <c r="D27" s="184">
        <v>105</v>
      </c>
      <c r="E27" s="178" t="s">
        <v>439</v>
      </c>
      <c r="F27" s="178" t="s">
        <v>442</v>
      </c>
      <c r="G27" s="179">
        <v>8</v>
      </c>
      <c r="H27" s="163">
        <f t="shared" si="0"/>
        <v>13.125</v>
      </c>
      <c r="J27" s="164"/>
    </row>
    <row r="28" spans="1:10" ht="12.75" customHeight="1" x14ac:dyDescent="0.2">
      <c r="A28" s="161">
        <v>27</v>
      </c>
      <c r="B28" s="180" t="s">
        <v>20</v>
      </c>
      <c r="C28" s="181" t="s">
        <v>11</v>
      </c>
      <c r="D28" s="184">
        <v>50</v>
      </c>
      <c r="E28" s="178" t="s">
        <v>439</v>
      </c>
      <c r="F28" s="181" t="s">
        <v>443</v>
      </c>
      <c r="G28" s="179">
        <v>4</v>
      </c>
      <c r="H28" s="163">
        <f t="shared" si="0"/>
        <v>12.5</v>
      </c>
      <c r="J28" s="164"/>
    </row>
    <row r="29" spans="1:10" ht="12.75" customHeight="1" x14ac:dyDescent="0.2">
      <c r="A29" s="161">
        <v>28</v>
      </c>
      <c r="B29" s="177" t="s">
        <v>466</v>
      </c>
      <c r="C29" s="178" t="s">
        <v>21</v>
      </c>
      <c r="D29" s="184">
        <v>145</v>
      </c>
      <c r="E29" s="178" t="s">
        <v>439</v>
      </c>
      <c r="F29" s="178" t="s">
        <v>441</v>
      </c>
      <c r="G29" s="179">
        <v>128</v>
      </c>
      <c r="H29" s="163">
        <f t="shared" si="0"/>
        <v>1.1328125</v>
      </c>
      <c r="J29" s="164"/>
    </row>
    <row r="30" spans="1:10" ht="12.75" customHeight="1" x14ac:dyDescent="0.2">
      <c r="A30" s="161">
        <v>29</v>
      </c>
      <c r="B30" s="186" t="s">
        <v>574</v>
      </c>
      <c r="C30" s="165" t="s">
        <v>11</v>
      </c>
      <c r="D30" s="85">
        <v>135</v>
      </c>
      <c r="E30" s="165" t="s">
        <v>439</v>
      </c>
      <c r="F30" s="167" t="s">
        <v>442</v>
      </c>
      <c r="G30" s="166">
        <v>8</v>
      </c>
      <c r="H30" s="163">
        <f t="shared" si="0"/>
        <v>16.875</v>
      </c>
      <c r="J30" s="164"/>
    </row>
    <row r="31" spans="1:10" ht="12.75" customHeight="1" x14ac:dyDescent="0.2">
      <c r="A31" s="161">
        <v>30</v>
      </c>
      <c r="B31" s="177" t="s">
        <v>536</v>
      </c>
      <c r="C31" s="178" t="s">
        <v>21</v>
      </c>
      <c r="D31" s="85">
        <v>360</v>
      </c>
      <c r="E31" s="178" t="s">
        <v>439</v>
      </c>
      <c r="F31" s="178" t="s">
        <v>441</v>
      </c>
      <c r="G31" s="179">
        <v>128</v>
      </c>
      <c r="H31" s="163">
        <f t="shared" si="0"/>
        <v>2.8125</v>
      </c>
      <c r="J31" s="164"/>
    </row>
    <row r="32" spans="1:10" ht="12.75" customHeight="1" x14ac:dyDescent="0.2">
      <c r="A32" s="161">
        <v>31</v>
      </c>
      <c r="B32" s="180" t="s">
        <v>22</v>
      </c>
      <c r="C32" s="181" t="s">
        <v>3</v>
      </c>
      <c r="D32" s="182">
        <v>10</v>
      </c>
      <c r="E32" s="183" t="s">
        <v>64</v>
      </c>
      <c r="F32" s="181" t="s">
        <v>64</v>
      </c>
      <c r="G32" s="179">
        <v>1</v>
      </c>
      <c r="H32" s="163">
        <f t="shared" si="0"/>
        <v>10</v>
      </c>
      <c r="J32" s="164"/>
    </row>
    <row r="33" spans="1:10" ht="12.75" customHeight="1" x14ac:dyDescent="0.2">
      <c r="A33" s="161">
        <v>32</v>
      </c>
      <c r="B33" s="177" t="s">
        <v>464</v>
      </c>
      <c r="C33" s="178" t="s">
        <v>39</v>
      </c>
      <c r="D33" s="184">
        <v>3.5</v>
      </c>
      <c r="E33" s="178" t="s">
        <v>442</v>
      </c>
      <c r="F33" s="178" t="s">
        <v>442</v>
      </c>
      <c r="G33" s="179">
        <v>1</v>
      </c>
      <c r="H33" s="163">
        <f t="shared" si="0"/>
        <v>3.5</v>
      </c>
      <c r="J33" s="164"/>
    </row>
    <row r="34" spans="1:10" ht="12.75" customHeight="1" x14ac:dyDescent="0.2">
      <c r="A34" s="161">
        <v>33</v>
      </c>
      <c r="B34" s="180" t="s">
        <v>23</v>
      </c>
      <c r="C34" s="181" t="s">
        <v>19</v>
      </c>
      <c r="D34" s="182">
        <v>175</v>
      </c>
      <c r="E34" s="183" t="s">
        <v>76</v>
      </c>
      <c r="F34" s="181" t="s">
        <v>573</v>
      </c>
      <c r="G34" s="179">
        <v>80</v>
      </c>
      <c r="H34" s="163">
        <f t="shared" ref="H34:H65" si="1">IF(G34=0,0,D34/G34)</f>
        <v>2.1875</v>
      </c>
      <c r="J34" s="164"/>
    </row>
    <row r="35" spans="1:10" ht="12.75" customHeight="1" x14ac:dyDescent="0.2">
      <c r="A35" s="161">
        <v>34</v>
      </c>
      <c r="B35" s="180" t="s">
        <v>24</v>
      </c>
      <c r="C35" s="181" t="s">
        <v>19</v>
      </c>
      <c r="D35" s="182">
        <v>200</v>
      </c>
      <c r="E35" s="183" t="s">
        <v>76</v>
      </c>
      <c r="F35" s="181" t="s">
        <v>573</v>
      </c>
      <c r="G35" s="179">
        <v>80</v>
      </c>
      <c r="H35" s="163">
        <f t="shared" si="1"/>
        <v>2.5</v>
      </c>
    </row>
    <row r="36" spans="1:10" ht="12.75" customHeight="1" x14ac:dyDescent="0.2">
      <c r="A36" s="161">
        <v>35</v>
      </c>
      <c r="B36" s="180" t="s">
        <v>25</v>
      </c>
      <c r="C36" s="181" t="s">
        <v>19</v>
      </c>
      <c r="D36" s="182">
        <v>215</v>
      </c>
      <c r="E36" s="183" t="s">
        <v>76</v>
      </c>
      <c r="F36" s="181" t="s">
        <v>573</v>
      </c>
      <c r="G36" s="179">
        <v>80</v>
      </c>
      <c r="H36" s="163">
        <f t="shared" si="1"/>
        <v>2.6875</v>
      </c>
      <c r="J36" s="164"/>
    </row>
    <row r="37" spans="1:10" ht="12.75" customHeight="1" x14ac:dyDescent="0.2">
      <c r="A37" s="161">
        <v>36</v>
      </c>
      <c r="B37" s="177" t="s">
        <v>534</v>
      </c>
      <c r="C37" s="178" t="s">
        <v>19</v>
      </c>
      <c r="D37" s="85">
        <v>245</v>
      </c>
      <c r="E37" s="178" t="s">
        <v>76</v>
      </c>
      <c r="F37" s="181" t="s">
        <v>573</v>
      </c>
      <c r="G37" s="179">
        <v>80</v>
      </c>
      <c r="H37" s="163">
        <f t="shared" si="1"/>
        <v>3.0625</v>
      </c>
      <c r="J37" s="164"/>
    </row>
    <row r="38" spans="1:10" ht="12.75" customHeight="1" x14ac:dyDescent="0.2">
      <c r="A38" s="161">
        <v>37</v>
      </c>
      <c r="B38" s="209" t="s">
        <v>569</v>
      </c>
      <c r="C38" s="206" t="s">
        <v>19</v>
      </c>
      <c r="D38" s="85">
        <v>230</v>
      </c>
      <c r="E38" s="206" t="s">
        <v>76</v>
      </c>
      <c r="F38" s="181" t="s">
        <v>573</v>
      </c>
      <c r="G38" s="179">
        <v>80</v>
      </c>
      <c r="H38" s="163">
        <f t="shared" si="1"/>
        <v>2.875</v>
      </c>
      <c r="J38" s="164"/>
    </row>
    <row r="39" spans="1:10" ht="12.75" customHeight="1" x14ac:dyDescent="0.2">
      <c r="A39" s="161">
        <v>38</v>
      </c>
      <c r="B39" s="177" t="s">
        <v>535</v>
      </c>
      <c r="C39" s="178" t="s">
        <v>19</v>
      </c>
      <c r="D39" s="184">
        <v>215</v>
      </c>
      <c r="E39" s="178" t="s">
        <v>76</v>
      </c>
      <c r="F39" s="181" t="s">
        <v>573</v>
      </c>
      <c r="G39" s="179">
        <v>80</v>
      </c>
      <c r="H39" s="163">
        <f t="shared" si="1"/>
        <v>2.6875</v>
      </c>
      <c r="J39" s="164"/>
    </row>
    <row r="40" spans="1:10" ht="12.75" customHeight="1" x14ac:dyDescent="0.2">
      <c r="A40" s="161">
        <v>39</v>
      </c>
      <c r="B40" s="187" t="s">
        <v>542</v>
      </c>
      <c r="C40" s="167" t="s">
        <v>19</v>
      </c>
      <c r="D40" s="168">
        <v>280</v>
      </c>
      <c r="E40" s="169" t="s">
        <v>76</v>
      </c>
      <c r="F40" s="181" t="s">
        <v>573</v>
      </c>
      <c r="G40" s="179">
        <v>80</v>
      </c>
      <c r="H40" s="163">
        <f t="shared" si="1"/>
        <v>3.5</v>
      </c>
      <c r="J40" s="164"/>
    </row>
    <row r="41" spans="1:10" ht="12.75" customHeight="1" x14ac:dyDescent="0.2">
      <c r="A41" s="161">
        <v>40</v>
      </c>
      <c r="B41" s="209" t="s">
        <v>597</v>
      </c>
      <c r="C41" s="206" t="s">
        <v>19</v>
      </c>
      <c r="D41" s="85">
        <v>20</v>
      </c>
      <c r="E41" s="206" t="s">
        <v>71</v>
      </c>
      <c r="F41" s="206" t="s">
        <v>71</v>
      </c>
      <c r="G41" s="166">
        <v>1</v>
      </c>
      <c r="H41" s="163">
        <f t="shared" si="1"/>
        <v>20</v>
      </c>
      <c r="J41" s="164"/>
    </row>
    <row r="42" spans="1:10" ht="12.75" customHeight="1" x14ac:dyDescent="0.2">
      <c r="A42" s="161">
        <v>41</v>
      </c>
      <c r="B42" s="209" t="s">
        <v>598</v>
      </c>
      <c r="C42" s="206" t="s">
        <v>19</v>
      </c>
      <c r="D42" s="85">
        <v>30</v>
      </c>
      <c r="E42" s="206" t="s">
        <v>71</v>
      </c>
      <c r="F42" s="206" t="s">
        <v>71</v>
      </c>
      <c r="G42" s="166">
        <v>1</v>
      </c>
      <c r="H42" s="163">
        <f t="shared" si="1"/>
        <v>30</v>
      </c>
      <c r="J42" s="164"/>
    </row>
    <row r="43" spans="1:10" ht="12.75" customHeight="1" x14ac:dyDescent="0.2">
      <c r="A43" s="161">
        <v>42</v>
      </c>
      <c r="B43" s="180" t="s">
        <v>26</v>
      </c>
      <c r="C43" s="181" t="s">
        <v>529</v>
      </c>
      <c r="D43" s="184">
        <v>10.5</v>
      </c>
      <c r="E43" s="178" t="s">
        <v>439</v>
      </c>
      <c r="F43" s="181" t="s">
        <v>442</v>
      </c>
      <c r="G43" s="179">
        <v>8</v>
      </c>
      <c r="H43" s="163">
        <f t="shared" si="1"/>
        <v>1.3125</v>
      </c>
      <c r="J43" s="164"/>
    </row>
    <row r="44" spans="1:10" ht="12.75" customHeight="1" x14ac:dyDescent="0.2">
      <c r="A44" s="161">
        <v>43</v>
      </c>
      <c r="B44" s="180" t="s">
        <v>27</v>
      </c>
      <c r="C44" s="181" t="s">
        <v>11</v>
      </c>
      <c r="D44" s="184">
        <v>80</v>
      </c>
      <c r="E44" s="178" t="s">
        <v>439</v>
      </c>
      <c r="F44" s="181" t="s">
        <v>441</v>
      </c>
      <c r="G44" s="179">
        <v>128</v>
      </c>
      <c r="H44" s="163">
        <f t="shared" si="1"/>
        <v>0.625</v>
      </c>
    </row>
    <row r="45" spans="1:10" ht="12.75" customHeight="1" x14ac:dyDescent="0.2">
      <c r="A45" s="161">
        <v>44</v>
      </c>
      <c r="B45" s="187" t="s">
        <v>496</v>
      </c>
      <c r="C45" s="167" t="s">
        <v>11</v>
      </c>
      <c r="D45" s="168">
        <v>40</v>
      </c>
      <c r="E45" s="169" t="s">
        <v>439</v>
      </c>
      <c r="F45" s="167" t="s">
        <v>441</v>
      </c>
      <c r="G45" s="166">
        <v>128</v>
      </c>
      <c r="H45" s="163">
        <f t="shared" si="1"/>
        <v>0.3125</v>
      </c>
      <c r="J45" s="164"/>
    </row>
    <row r="46" spans="1:10" ht="12.75" customHeight="1" x14ac:dyDescent="0.2">
      <c r="A46" s="161">
        <v>45</v>
      </c>
      <c r="B46" s="180" t="s">
        <v>568</v>
      </c>
      <c r="C46" s="181" t="s">
        <v>3</v>
      </c>
      <c r="D46" s="182">
        <v>0.09</v>
      </c>
      <c r="E46" s="183" t="s">
        <v>438</v>
      </c>
      <c r="F46" s="181" t="s">
        <v>438</v>
      </c>
      <c r="G46" s="179">
        <v>1</v>
      </c>
      <c r="H46" s="163">
        <f t="shared" si="1"/>
        <v>0.09</v>
      </c>
      <c r="J46" s="164"/>
    </row>
    <row r="47" spans="1:10" ht="12.75" customHeight="1" x14ac:dyDescent="0.2">
      <c r="A47" s="161">
        <v>46</v>
      </c>
      <c r="B47" s="180" t="s">
        <v>28</v>
      </c>
      <c r="C47" s="181" t="s">
        <v>19</v>
      </c>
      <c r="D47" s="182">
        <v>92</v>
      </c>
      <c r="E47" s="183" t="s">
        <v>73</v>
      </c>
      <c r="F47" s="181" t="s">
        <v>73</v>
      </c>
      <c r="G47" s="179">
        <v>1</v>
      </c>
      <c r="H47" s="163">
        <f t="shared" si="1"/>
        <v>92</v>
      </c>
      <c r="J47" s="164"/>
    </row>
    <row r="48" spans="1:10" ht="12.75" customHeight="1" x14ac:dyDescent="0.2">
      <c r="A48" s="161">
        <v>47</v>
      </c>
      <c r="B48" s="180" t="s">
        <v>527</v>
      </c>
      <c r="C48" s="181" t="s">
        <v>29</v>
      </c>
      <c r="D48" s="182">
        <v>28</v>
      </c>
      <c r="E48" s="183" t="s">
        <v>71</v>
      </c>
      <c r="F48" s="181" t="s">
        <v>71</v>
      </c>
      <c r="G48" s="179">
        <v>1</v>
      </c>
      <c r="H48" s="163">
        <f t="shared" si="1"/>
        <v>28</v>
      </c>
      <c r="J48" s="164"/>
    </row>
    <row r="49" spans="1:10" ht="12.75" customHeight="1" x14ac:dyDescent="0.2">
      <c r="A49" s="161">
        <v>48</v>
      </c>
      <c r="B49" s="180" t="s">
        <v>494</v>
      </c>
      <c r="C49" s="181" t="s">
        <v>29</v>
      </c>
      <c r="D49" s="182">
        <v>0.1</v>
      </c>
      <c r="E49" s="183" t="s">
        <v>493</v>
      </c>
      <c r="F49" s="181" t="s">
        <v>493</v>
      </c>
      <c r="G49" s="179">
        <v>1</v>
      </c>
      <c r="H49" s="163">
        <f t="shared" si="1"/>
        <v>0.1</v>
      </c>
      <c r="J49" s="164"/>
    </row>
    <row r="50" spans="1:10" ht="12.75" customHeight="1" x14ac:dyDescent="0.2">
      <c r="A50" s="161">
        <v>49</v>
      </c>
      <c r="B50" s="180" t="s">
        <v>30</v>
      </c>
      <c r="C50" s="181" t="s">
        <v>11</v>
      </c>
      <c r="D50" s="184">
        <v>37</v>
      </c>
      <c r="E50" s="178" t="s">
        <v>439</v>
      </c>
      <c r="F50" s="181" t="s">
        <v>443</v>
      </c>
      <c r="G50" s="179">
        <v>4</v>
      </c>
      <c r="H50" s="163">
        <f t="shared" si="1"/>
        <v>9.25</v>
      </c>
      <c r="J50" s="164"/>
    </row>
    <row r="51" spans="1:10" ht="12.75" customHeight="1" x14ac:dyDescent="0.2">
      <c r="A51" s="161">
        <v>50</v>
      </c>
      <c r="B51" s="180" t="s">
        <v>31</v>
      </c>
      <c r="C51" s="181" t="s">
        <v>29</v>
      </c>
      <c r="D51" s="182">
        <v>260</v>
      </c>
      <c r="E51" s="183" t="s">
        <v>75</v>
      </c>
      <c r="F51" s="181" t="s">
        <v>71</v>
      </c>
      <c r="G51" s="179">
        <v>130</v>
      </c>
      <c r="H51" s="163">
        <f t="shared" si="1"/>
        <v>2</v>
      </c>
      <c r="J51" s="164"/>
    </row>
    <row r="52" spans="1:10" ht="12.75" customHeight="1" x14ac:dyDescent="0.2">
      <c r="A52" s="161">
        <v>51</v>
      </c>
      <c r="B52" s="180" t="s">
        <v>32</v>
      </c>
      <c r="C52" s="181" t="s">
        <v>11</v>
      </c>
      <c r="D52" s="184">
        <v>17</v>
      </c>
      <c r="E52" s="178" t="s">
        <v>439</v>
      </c>
      <c r="F52" s="181" t="s">
        <v>441</v>
      </c>
      <c r="G52" s="179">
        <v>128</v>
      </c>
      <c r="H52" s="163">
        <f t="shared" si="1"/>
        <v>0.1328125</v>
      </c>
      <c r="J52" s="164"/>
    </row>
    <row r="53" spans="1:10" ht="12.75" customHeight="1" x14ac:dyDescent="0.2">
      <c r="A53" s="161">
        <v>52</v>
      </c>
      <c r="B53" s="177" t="s">
        <v>579</v>
      </c>
      <c r="C53" s="178" t="s">
        <v>11</v>
      </c>
      <c r="D53" s="184">
        <v>43</v>
      </c>
      <c r="E53" s="178" t="s">
        <v>439</v>
      </c>
      <c r="F53" s="178" t="s">
        <v>442</v>
      </c>
      <c r="G53" s="179">
        <v>8</v>
      </c>
      <c r="H53" s="163">
        <f t="shared" si="1"/>
        <v>5.375</v>
      </c>
      <c r="J53" s="164"/>
    </row>
    <row r="54" spans="1:10" ht="12.75" customHeight="1" x14ac:dyDescent="0.2">
      <c r="A54" s="161">
        <v>53</v>
      </c>
      <c r="B54" s="180" t="s">
        <v>33</v>
      </c>
      <c r="C54" s="181" t="s">
        <v>34</v>
      </c>
      <c r="D54" s="182">
        <v>10</v>
      </c>
      <c r="E54" s="183" t="s">
        <v>71</v>
      </c>
      <c r="F54" s="181" t="s">
        <v>71</v>
      </c>
      <c r="G54" s="179">
        <v>1</v>
      </c>
      <c r="H54" s="163">
        <f t="shared" si="1"/>
        <v>10</v>
      </c>
      <c r="J54" s="164"/>
    </row>
    <row r="55" spans="1:10" ht="12.75" customHeight="1" x14ac:dyDescent="0.2">
      <c r="A55" s="161">
        <v>54</v>
      </c>
      <c r="B55" s="180" t="s">
        <v>35</v>
      </c>
      <c r="C55" s="181" t="s">
        <v>19</v>
      </c>
      <c r="D55" s="182">
        <v>60</v>
      </c>
      <c r="E55" s="183" t="s">
        <v>71</v>
      </c>
      <c r="F55" s="181" t="s">
        <v>71</v>
      </c>
      <c r="G55" s="179">
        <v>1</v>
      </c>
      <c r="H55" s="163">
        <f t="shared" si="1"/>
        <v>60</v>
      </c>
    </row>
    <row r="56" spans="1:10" ht="12.75" customHeight="1" x14ac:dyDescent="0.2">
      <c r="A56" s="161">
        <v>55</v>
      </c>
      <c r="B56" s="180" t="s">
        <v>36</v>
      </c>
      <c r="C56" s="181" t="s">
        <v>3</v>
      </c>
      <c r="D56" s="182">
        <v>6</v>
      </c>
      <c r="E56" s="183" t="s">
        <v>64</v>
      </c>
      <c r="F56" s="181" t="s">
        <v>64</v>
      </c>
      <c r="G56" s="179">
        <v>1</v>
      </c>
      <c r="H56" s="163">
        <f t="shared" si="1"/>
        <v>6</v>
      </c>
      <c r="J56" s="164"/>
    </row>
    <row r="57" spans="1:10" ht="12.75" customHeight="1" x14ac:dyDescent="0.2">
      <c r="A57" s="161">
        <v>56</v>
      </c>
      <c r="B57" s="180" t="s">
        <v>37</v>
      </c>
      <c r="C57" s="181" t="s">
        <v>3</v>
      </c>
      <c r="D57" s="182">
        <v>5</v>
      </c>
      <c r="E57" s="183" t="s">
        <v>64</v>
      </c>
      <c r="F57" s="181" t="s">
        <v>64</v>
      </c>
      <c r="G57" s="179">
        <v>1</v>
      </c>
      <c r="H57" s="163">
        <f t="shared" si="1"/>
        <v>5</v>
      </c>
      <c r="J57" s="164"/>
    </row>
    <row r="58" spans="1:10" ht="12.75" customHeight="1" x14ac:dyDescent="0.2">
      <c r="A58" s="161">
        <v>57</v>
      </c>
      <c r="B58" s="180" t="s">
        <v>424</v>
      </c>
      <c r="C58" s="181" t="s">
        <v>3</v>
      </c>
      <c r="D58" s="182">
        <v>0.28000000000000003</v>
      </c>
      <c r="E58" s="183" t="s">
        <v>73</v>
      </c>
      <c r="F58" s="181" t="s">
        <v>73</v>
      </c>
      <c r="G58" s="179">
        <v>1</v>
      </c>
      <c r="H58" s="163">
        <f t="shared" si="1"/>
        <v>0.28000000000000003</v>
      </c>
      <c r="J58" s="164"/>
    </row>
    <row r="59" spans="1:10" ht="12.75" customHeight="1" x14ac:dyDescent="0.2">
      <c r="A59" s="161">
        <v>58</v>
      </c>
      <c r="B59" s="177" t="s">
        <v>422</v>
      </c>
      <c r="C59" s="178" t="s">
        <v>3</v>
      </c>
      <c r="D59" s="184">
        <v>0.24</v>
      </c>
      <c r="E59" s="178" t="s">
        <v>73</v>
      </c>
      <c r="F59" s="178" t="s">
        <v>73</v>
      </c>
      <c r="G59" s="179">
        <v>1</v>
      </c>
      <c r="H59" s="163">
        <f t="shared" si="1"/>
        <v>0.24</v>
      </c>
      <c r="J59" s="164"/>
    </row>
    <row r="60" spans="1:10" ht="12.75" customHeight="1" x14ac:dyDescent="0.2">
      <c r="A60" s="161">
        <v>59</v>
      </c>
      <c r="B60" s="177" t="s">
        <v>423</v>
      </c>
      <c r="C60" s="178" t="s">
        <v>3</v>
      </c>
      <c r="D60" s="184">
        <v>0.3</v>
      </c>
      <c r="E60" s="178" t="s">
        <v>73</v>
      </c>
      <c r="F60" s="178" t="s">
        <v>73</v>
      </c>
      <c r="G60" s="179">
        <v>1</v>
      </c>
      <c r="H60" s="163">
        <f t="shared" si="1"/>
        <v>0.3</v>
      </c>
      <c r="J60" s="164"/>
    </row>
    <row r="61" spans="1:10" ht="12.75" customHeight="1" x14ac:dyDescent="0.2">
      <c r="A61" s="161">
        <v>60</v>
      </c>
      <c r="B61" s="180" t="s">
        <v>38</v>
      </c>
      <c r="C61" s="181" t="s">
        <v>3</v>
      </c>
      <c r="D61" s="182">
        <v>0.11</v>
      </c>
      <c r="E61" s="183" t="s">
        <v>438</v>
      </c>
      <c r="F61" s="181" t="s">
        <v>438</v>
      </c>
      <c r="G61" s="179">
        <v>1</v>
      </c>
      <c r="H61" s="163">
        <f t="shared" si="1"/>
        <v>0.11</v>
      </c>
      <c r="J61" s="164"/>
    </row>
    <row r="62" spans="1:10" ht="12.75" customHeight="1" x14ac:dyDescent="0.2">
      <c r="A62" s="161">
        <v>61</v>
      </c>
      <c r="B62" s="209" t="s">
        <v>501</v>
      </c>
      <c r="C62" s="206" t="s">
        <v>39</v>
      </c>
      <c r="D62" s="85">
        <v>320</v>
      </c>
      <c r="E62" s="206" t="s">
        <v>439</v>
      </c>
      <c r="F62" s="167" t="s">
        <v>441</v>
      </c>
      <c r="G62" s="166">
        <v>128</v>
      </c>
      <c r="H62" s="163">
        <f t="shared" si="1"/>
        <v>2.5</v>
      </c>
      <c r="J62" s="164"/>
    </row>
    <row r="63" spans="1:10" ht="12.75" customHeight="1" x14ac:dyDescent="0.2">
      <c r="A63" s="161">
        <v>62</v>
      </c>
      <c r="B63" s="187" t="s">
        <v>540</v>
      </c>
      <c r="C63" s="167" t="s">
        <v>11</v>
      </c>
      <c r="D63" s="168">
        <v>116</v>
      </c>
      <c r="E63" s="169" t="s">
        <v>439</v>
      </c>
      <c r="F63" s="167" t="s">
        <v>441</v>
      </c>
      <c r="G63" s="166">
        <v>128</v>
      </c>
      <c r="H63" s="163">
        <f t="shared" si="1"/>
        <v>0.90625</v>
      </c>
    </row>
    <row r="64" spans="1:10" ht="12.75" customHeight="1" x14ac:dyDescent="0.2">
      <c r="A64" s="161">
        <v>63</v>
      </c>
      <c r="B64" s="180" t="s">
        <v>546</v>
      </c>
      <c r="C64" s="181" t="s">
        <v>29</v>
      </c>
      <c r="D64" s="182">
        <v>30</v>
      </c>
      <c r="E64" s="183" t="s">
        <v>71</v>
      </c>
      <c r="F64" s="181" t="s">
        <v>71</v>
      </c>
      <c r="G64" s="179">
        <v>1</v>
      </c>
      <c r="H64" s="163">
        <f t="shared" si="1"/>
        <v>30</v>
      </c>
    </row>
    <row r="65" spans="1:10" ht="12.75" customHeight="1" x14ac:dyDescent="0.2">
      <c r="A65" s="161">
        <v>64</v>
      </c>
      <c r="B65" s="180" t="s">
        <v>40</v>
      </c>
      <c r="C65" s="181" t="s">
        <v>11</v>
      </c>
      <c r="D65" s="184">
        <v>19</v>
      </c>
      <c r="E65" s="178" t="s">
        <v>439</v>
      </c>
      <c r="F65" s="181" t="s">
        <v>441</v>
      </c>
      <c r="G65" s="179">
        <v>128</v>
      </c>
      <c r="H65" s="163">
        <f t="shared" si="1"/>
        <v>0.1484375</v>
      </c>
    </row>
    <row r="66" spans="1:10" ht="12.75" customHeight="1" x14ac:dyDescent="0.2">
      <c r="A66" s="161">
        <v>65</v>
      </c>
      <c r="B66" s="187" t="s">
        <v>499</v>
      </c>
      <c r="C66" s="167" t="s">
        <v>11</v>
      </c>
      <c r="D66" s="168">
        <v>780</v>
      </c>
      <c r="E66" s="169" t="s">
        <v>439</v>
      </c>
      <c r="F66" s="167" t="s">
        <v>441</v>
      </c>
      <c r="G66" s="166">
        <v>128</v>
      </c>
      <c r="H66" s="163">
        <f t="shared" ref="H66:H97" si="2">IF(G66=0,0,D66/G66)</f>
        <v>6.09375</v>
      </c>
    </row>
    <row r="67" spans="1:10" ht="12.75" customHeight="1" x14ac:dyDescent="0.2">
      <c r="A67" s="161">
        <v>66</v>
      </c>
      <c r="B67" s="177" t="s">
        <v>530</v>
      </c>
      <c r="C67" s="178" t="s">
        <v>3</v>
      </c>
      <c r="D67" s="178">
        <v>2</v>
      </c>
      <c r="E67" s="178" t="s">
        <v>72</v>
      </c>
      <c r="F67" s="178" t="s">
        <v>64</v>
      </c>
      <c r="G67" s="179">
        <f>1362/2000</f>
        <v>0.68100000000000005</v>
      </c>
      <c r="H67" s="163">
        <f t="shared" si="2"/>
        <v>2.9368575624082229</v>
      </c>
      <c r="J67" s="164"/>
    </row>
    <row r="68" spans="1:10" ht="12.75" customHeight="1" x14ac:dyDescent="0.2">
      <c r="A68" s="161">
        <v>67</v>
      </c>
      <c r="B68" s="180" t="s">
        <v>41</v>
      </c>
      <c r="C68" s="181" t="s">
        <v>21</v>
      </c>
      <c r="D68" s="182">
        <v>2.5</v>
      </c>
      <c r="E68" s="183" t="s">
        <v>440</v>
      </c>
      <c r="F68" s="181" t="s">
        <v>440</v>
      </c>
      <c r="G68" s="179">
        <v>1</v>
      </c>
      <c r="H68" s="163">
        <f t="shared" si="2"/>
        <v>2.5</v>
      </c>
      <c r="J68" s="164"/>
    </row>
    <row r="69" spans="1:10" ht="12.75" customHeight="1" x14ac:dyDescent="0.2">
      <c r="A69" s="161">
        <v>68</v>
      </c>
      <c r="B69" s="180" t="s">
        <v>42</v>
      </c>
      <c r="C69" s="181" t="s">
        <v>21</v>
      </c>
      <c r="D69" s="182">
        <v>50</v>
      </c>
      <c r="E69" s="183" t="s">
        <v>439</v>
      </c>
      <c r="F69" s="185" t="s">
        <v>442</v>
      </c>
      <c r="G69" s="179">
        <v>8</v>
      </c>
      <c r="H69" s="163">
        <f t="shared" si="2"/>
        <v>6.25</v>
      </c>
      <c r="J69" s="164"/>
    </row>
    <row r="70" spans="1:10" ht="12.75" customHeight="1" x14ac:dyDescent="0.2">
      <c r="A70" s="161">
        <v>69</v>
      </c>
      <c r="B70" s="177" t="s">
        <v>492</v>
      </c>
      <c r="C70" s="178" t="s">
        <v>11</v>
      </c>
      <c r="D70" s="184">
        <v>75</v>
      </c>
      <c r="E70" s="178" t="s">
        <v>439</v>
      </c>
      <c r="F70" s="178" t="s">
        <v>443</v>
      </c>
      <c r="G70" s="179">
        <v>4</v>
      </c>
      <c r="H70" s="163">
        <f t="shared" si="2"/>
        <v>18.75</v>
      </c>
    </row>
    <row r="71" spans="1:10" ht="12.75" customHeight="1" x14ac:dyDescent="0.2">
      <c r="A71" s="161">
        <v>70</v>
      </c>
      <c r="B71" s="180" t="s">
        <v>43</v>
      </c>
      <c r="C71" s="181" t="s">
        <v>19</v>
      </c>
      <c r="D71" s="182">
        <v>0.6</v>
      </c>
      <c r="E71" s="183" t="s">
        <v>440</v>
      </c>
      <c r="F71" s="181" t="s">
        <v>440</v>
      </c>
      <c r="G71" s="179">
        <v>1</v>
      </c>
      <c r="H71" s="163">
        <f t="shared" si="2"/>
        <v>0.6</v>
      </c>
    </row>
    <row r="72" spans="1:10" ht="12.75" customHeight="1" x14ac:dyDescent="0.2">
      <c r="A72" s="161">
        <v>71</v>
      </c>
      <c r="B72" s="180" t="s">
        <v>44</v>
      </c>
      <c r="C72" s="181" t="s">
        <v>29</v>
      </c>
      <c r="D72" s="182">
        <v>20</v>
      </c>
      <c r="E72" s="183" t="s">
        <v>444</v>
      </c>
      <c r="F72" s="181" t="s">
        <v>444</v>
      </c>
      <c r="G72" s="179">
        <v>1</v>
      </c>
      <c r="H72" s="163">
        <f t="shared" si="2"/>
        <v>20</v>
      </c>
    </row>
    <row r="73" spans="1:10" ht="12.75" customHeight="1" x14ac:dyDescent="0.2">
      <c r="A73" s="161">
        <v>72</v>
      </c>
      <c r="B73" s="180" t="s">
        <v>465</v>
      </c>
      <c r="C73" s="181" t="s">
        <v>21</v>
      </c>
      <c r="D73" s="182">
        <v>190</v>
      </c>
      <c r="E73" s="183" t="s">
        <v>439</v>
      </c>
      <c r="F73" s="181" t="s">
        <v>441</v>
      </c>
      <c r="G73" s="179">
        <v>128</v>
      </c>
      <c r="H73" s="163">
        <f t="shared" si="2"/>
        <v>1.484375</v>
      </c>
    </row>
    <row r="74" spans="1:10" ht="12.75" customHeight="1" x14ac:dyDescent="0.2">
      <c r="A74" s="161">
        <v>73</v>
      </c>
      <c r="B74" s="180" t="s">
        <v>45</v>
      </c>
      <c r="C74" s="181" t="s">
        <v>529</v>
      </c>
      <c r="D74" s="184">
        <v>23</v>
      </c>
      <c r="E74" s="195" t="s">
        <v>439</v>
      </c>
      <c r="F74" s="185" t="s">
        <v>441</v>
      </c>
      <c r="G74" s="179">
        <v>128</v>
      </c>
      <c r="H74" s="163">
        <f t="shared" si="2"/>
        <v>0.1796875</v>
      </c>
      <c r="J74" s="164"/>
    </row>
    <row r="75" spans="1:10" ht="12.75" customHeight="1" x14ac:dyDescent="0.2">
      <c r="A75" s="161">
        <v>74</v>
      </c>
      <c r="B75" s="180" t="s">
        <v>46</v>
      </c>
      <c r="C75" s="181" t="s">
        <v>19</v>
      </c>
      <c r="D75" s="182">
        <v>9</v>
      </c>
      <c r="E75" s="183" t="s">
        <v>438</v>
      </c>
      <c r="F75" s="181" t="s">
        <v>438</v>
      </c>
      <c r="G75" s="179">
        <v>1</v>
      </c>
      <c r="H75" s="163">
        <f t="shared" si="2"/>
        <v>9</v>
      </c>
      <c r="J75" s="164"/>
    </row>
    <row r="76" spans="1:10" ht="12.75" customHeight="1" x14ac:dyDescent="0.2">
      <c r="A76" s="161">
        <v>75</v>
      </c>
      <c r="B76" s="177" t="s">
        <v>462</v>
      </c>
      <c r="C76" s="178" t="s">
        <v>11</v>
      </c>
      <c r="D76" s="184">
        <v>140</v>
      </c>
      <c r="E76" s="178" t="s">
        <v>439</v>
      </c>
      <c r="F76" s="178" t="s">
        <v>441</v>
      </c>
      <c r="G76" s="179">
        <v>128</v>
      </c>
      <c r="H76" s="163">
        <f t="shared" si="2"/>
        <v>1.09375</v>
      </c>
      <c r="J76" s="164"/>
    </row>
    <row r="77" spans="1:10" x14ac:dyDescent="0.2">
      <c r="A77" s="161">
        <v>76</v>
      </c>
      <c r="B77" s="209" t="s">
        <v>560</v>
      </c>
      <c r="C77" s="206" t="s">
        <v>39</v>
      </c>
      <c r="D77" s="85">
        <v>8</v>
      </c>
      <c r="E77" s="206" t="s">
        <v>440</v>
      </c>
      <c r="F77" s="206" t="s">
        <v>440</v>
      </c>
      <c r="G77" s="166">
        <v>1</v>
      </c>
      <c r="H77" s="163">
        <f t="shared" si="2"/>
        <v>8</v>
      </c>
      <c r="J77" s="164"/>
    </row>
    <row r="78" spans="1:10" x14ac:dyDescent="0.2">
      <c r="A78" s="161">
        <v>77</v>
      </c>
      <c r="B78" s="180" t="s">
        <v>47</v>
      </c>
      <c r="C78" s="181" t="s">
        <v>11</v>
      </c>
      <c r="D78" s="184">
        <v>16</v>
      </c>
      <c r="E78" s="178" t="s">
        <v>441</v>
      </c>
      <c r="F78" s="181" t="s">
        <v>441</v>
      </c>
      <c r="G78" s="179">
        <v>1</v>
      </c>
      <c r="H78" s="163">
        <f t="shared" si="2"/>
        <v>16</v>
      </c>
      <c r="J78" s="164"/>
    </row>
    <row r="79" spans="1:10" x14ac:dyDescent="0.2">
      <c r="A79" s="161">
        <v>78</v>
      </c>
      <c r="B79" s="209" t="s">
        <v>559</v>
      </c>
      <c r="C79" s="206" t="s">
        <v>19</v>
      </c>
      <c r="D79" s="85">
        <v>18</v>
      </c>
      <c r="E79" s="206" t="s">
        <v>438</v>
      </c>
      <c r="F79" s="206" t="s">
        <v>438</v>
      </c>
      <c r="G79" s="166">
        <v>1</v>
      </c>
      <c r="H79" s="163">
        <f t="shared" si="2"/>
        <v>18</v>
      </c>
      <c r="J79" s="164"/>
    </row>
    <row r="80" spans="1:10" x14ac:dyDescent="0.2">
      <c r="A80" s="161">
        <v>79</v>
      </c>
      <c r="B80" s="187" t="s">
        <v>541</v>
      </c>
      <c r="C80" s="167" t="s">
        <v>39</v>
      </c>
      <c r="D80" s="168">
        <v>650</v>
      </c>
      <c r="E80" s="169" t="s">
        <v>439</v>
      </c>
      <c r="F80" s="167" t="s">
        <v>441</v>
      </c>
      <c r="G80" s="166">
        <v>128</v>
      </c>
      <c r="H80" s="163">
        <f t="shared" si="2"/>
        <v>5.078125</v>
      </c>
    </row>
    <row r="81" spans="1:10" x14ac:dyDescent="0.2">
      <c r="A81" s="161">
        <v>80</v>
      </c>
      <c r="B81" s="180" t="s">
        <v>463</v>
      </c>
      <c r="C81" s="181" t="s">
        <v>11</v>
      </c>
      <c r="D81" s="184">
        <v>49</v>
      </c>
      <c r="E81" s="178" t="s">
        <v>439</v>
      </c>
      <c r="F81" s="181" t="s">
        <v>442</v>
      </c>
      <c r="G81" s="179">
        <v>8</v>
      </c>
      <c r="H81" s="163">
        <f t="shared" si="2"/>
        <v>6.125</v>
      </c>
      <c r="J81" s="164"/>
    </row>
    <row r="82" spans="1:10" x14ac:dyDescent="0.2">
      <c r="A82" s="161">
        <v>81</v>
      </c>
      <c r="B82" s="180" t="s">
        <v>48</v>
      </c>
      <c r="C82" s="181" t="s">
        <v>11</v>
      </c>
      <c r="D82" s="184">
        <v>480</v>
      </c>
      <c r="E82" s="178" t="s">
        <v>439</v>
      </c>
      <c r="F82" s="181" t="s">
        <v>441</v>
      </c>
      <c r="G82" s="179">
        <v>128</v>
      </c>
      <c r="H82" s="163">
        <f t="shared" si="2"/>
        <v>3.75</v>
      </c>
      <c r="J82" s="164"/>
    </row>
    <row r="83" spans="1:10" x14ac:dyDescent="0.2">
      <c r="A83" s="161">
        <v>82</v>
      </c>
      <c r="B83" s="177" t="s">
        <v>528</v>
      </c>
      <c r="C83" s="178" t="s">
        <v>39</v>
      </c>
      <c r="D83" s="184">
        <v>425</v>
      </c>
      <c r="E83" s="178" t="s">
        <v>439</v>
      </c>
      <c r="F83" s="178" t="s">
        <v>441</v>
      </c>
      <c r="G83" s="179">
        <v>128</v>
      </c>
      <c r="H83" s="163">
        <f t="shared" si="2"/>
        <v>3.3203125</v>
      </c>
      <c r="J83" s="164"/>
    </row>
    <row r="84" spans="1:10" x14ac:dyDescent="0.2">
      <c r="A84" s="161">
        <v>83</v>
      </c>
      <c r="B84" s="180" t="s">
        <v>543</v>
      </c>
      <c r="C84" s="181" t="s">
        <v>39</v>
      </c>
      <c r="D84" s="182">
        <v>280</v>
      </c>
      <c r="E84" s="183" t="s">
        <v>439</v>
      </c>
      <c r="F84" s="181" t="s">
        <v>441</v>
      </c>
      <c r="G84" s="179">
        <v>128</v>
      </c>
      <c r="H84" s="163">
        <f t="shared" si="2"/>
        <v>2.1875</v>
      </c>
      <c r="J84" s="164"/>
    </row>
    <row r="85" spans="1:10" x14ac:dyDescent="0.2">
      <c r="A85" s="161">
        <v>84</v>
      </c>
      <c r="B85" s="177" t="s">
        <v>461</v>
      </c>
      <c r="C85" s="178" t="s">
        <v>11</v>
      </c>
      <c r="D85" s="184">
        <v>610</v>
      </c>
      <c r="E85" s="178" t="s">
        <v>439</v>
      </c>
      <c r="F85" s="178" t="s">
        <v>441</v>
      </c>
      <c r="G85" s="179">
        <v>128</v>
      </c>
      <c r="H85" s="163">
        <f t="shared" si="2"/>
        <v>4.765625</v>
      </c>
      <c r="J85" s="164"/>
    </row>
    <row r="86" spans="1:10" ht="14.25" customHeight="1" x14ac:dyDescent="0.2">
      <c r="A86" s="161">
        <v>85</v>
      </c>
      <c r="B86" s="180" t="s">
        <v>49</v>
      </c>
      <c r="C86" s="181" t="s">
        <v>21</v>
      </c>
      <c r="D86" s="182">
        <v>9.3000000000000007</v>
      </c>
      <c r="E86" s="183" t="s">
        <v>441</v>
      </c>
      <c r="F86" s="181" t="s">
        <v>441</v>
      </c>
      <c r="G86" s="179">
        <v>1</v>
      </c>
      <c r="H86" s="163">
        <f t="shared" si="2"/>
        <v>9.3000000000000007</v>
      </c>
      <c r="J86" s="164"/>
    </row>
    <row r="87" spans="1:10" x14ac:dyDescent="0.2">
      <c r="A87" s="161">
        <v>86</v>
      </c>
      <c r="B87" s="177" t="s">
        <v>533</v>
      </c>
      <c r="C87" s="178" t="s">
        <v>11</v>
      </c>
      <c r="D87" s="85">
        <v>40</v>
      </c>
      <c r="E87" s="178" t="s">
        <v>439</v>
      </c>
      <c r="F87" s="178" t="s">
        <v>441</v>
      </c>
      <c r="G87" s="179">
        <v>128</v>
      </c>
      <c r="H87" s="163">
        <f t="shared" si="2"/>
        <v>0.3125</v>
      </c>
      <c r="J87" s="164"/>
    </row>
    <row r="88" spans="1:10" x14ac:dyDescent="0.2">
      <c r="A88" s="161">
        <v>87</v>
      </c>
      <c r="B88" s="180" t="s">
        <v>50</v>
      </c>
      <c r="C88" s="181" t="s">
        <v>19</v>
      </c>
      <c r="D88" s="182">
        <v>44</v>
      </c>
      <c r="E88" s="183" t="s">
        <v>76</v>
      </c>
      <c r="F88" s="181" t="s">
        <v>76</v>
      </c>
      <c r="G88" s="179">
        <v>1</v>
      </c>
      <c r="H88" s="163">
        <f t="shared" si="2"/>
        <v>44</v>
      </c>
      <c r="J88" s="164"/>
    </row>
    <row r="89" spans="1:10" ht="15" customHeight="1" x14ac:dyDescent="0.2">
      <c r="A89" s="161">
        <v>88</v>
      </c>
      <c r="B89" s="209" t="s">
        <v>575</v>
      </c>
      <c r="C89" s="206" t="s">
        <v>19</v>
      </c>
      <c r="D89" s="85">
        <v>55</v>
      </c>
      <c r="E89" s="206" t="s">
        <v>76</v>
      </c>
      <c r="F89" s="206" t="s">
        <v>76</v>
      </c>
      <c r="G89" s="166">
        <v>1</v>
      </c>
      <c r="H89" s="163">
        <f t="shared" si="2"/>
        <v>55</v>
      </c>
    </row>
    <row r="90" spans="1:10" x14ac:dyDescent="0.2">
      <c r="A90" s="161">
        <v>89</v>
      </c>
      <c r="B90" s="180" t="s">
        <v>495</v>
      </c>
      <c r="C90" s="181" t="s">
        <v>19</v>
      </c>
      <c r="D90" s="182">
        <v>47</v>
      </c>
      <c r="E90" s="183" t="s">
        <v>76</v>
      </c>
      <c r="F90" s="181" t="s">
        <v>76</v>
      </c>
      <c r="G90" s="179">
        <v>1</v>
      </c>
      <c r="H90" s="163">
        <f t="shared" si="2"/>
        <v>47</v>
      </c>
      <c r="J90" s="164"/>
    </row>
    <row r="91" spans="1:10" x14ac:dyDescent="0.2">
      <c r="A91" s="161">
        <v>90</v>
      </c>
      <c r="B91" s="289" t="s">
        <v>576</v>
      </c>
      <c r="C91" s="289" t="s">
        <v>19</v>
      </c>
      <c r="D91" s="285">
        <v>58</v>
      </c>
      <c r="E91" s="289" t="s">
        <v>440</v>
      </c>
      <c r="F91" s="289" t="s">
        <v>440</v>
      </c>
      <c r="G91" s="166">
        <v>1</v>
      </c>
      <c r="H91" s="163">
        <f t="shared" si="2"/>
        <v>58</v>
      </c>
      <c r="J91" s="164"/>
    </row>
    <row r="92" spans="1:10" x14ac:dyDescent="0.2">
      <c r="A92" s="161">
        <v>91</v>
      </c>
      <c r="B92" s="281" t="s">
        <v>500</v>
      </c>
      <c r="C92" s="282" t="s">
        <v>11</v>
      </c>
      <c r="D92" s="283">
        <v>40</v>
      </c>
      <c r="E92" s="284" t="s">
        <v>439</v>
      </c>
      <c r="F92" s="282" t="s">
        <v>443</v>
      </c>
      <c r="G92" s="166">
        <v>4</v>
      </c>
      <c r="H92" s="163">
        <f t="shared" si="2"/>
        <v>10</v>
      </c>
      <c r="J92" s="164"/>
    </row>
    <row r="93" spans="1:10" x14ac:dyDescent="0.2">
      <c r="A93" s="161">
        <v>92</v>
      </c>
      <c r="B93" s="204" t="s">
        <v>453</v>
      </c>
      <c r="C93" s="178" t="s">
        <v>409</v>
      </c>
      <c r="D93" s="258">
        <v>10</v>
      </c>
      <c r="E93" s="204" t="s">
        <v>71</v>
      </c>
      <c r="F93" s="178" t="s">
        <v>71</v>
      </c>
      <c r="G93" s="179">
        <v>1</v>
      </c>
      <c r="H93" s="163">
        <f t="shared" si="2"/>
        <v>10</v>
      </c>
      <c r="J93" s="164"/>
    </row>
    <row r="94" spans="1:10" x14ac:dyDescent="0.2">
      <c r="A94" s="161">
        <v>93</v>
      </c>
      <c r="B94" s="204" t="s">
        <v>474</v>
      </c>
      <c r="C94" s="178" t="s">
        <v>409</v>
      </c>
      <c r="D94" s="258">
        <v>7</v>
      </c>
      <c r="E94" s="204" t="s">
        <v>71</v>
      </c>
      <c r="F94" s="178" t="s">
        <v>71</v>
      </c>
      <c r="G94" s="179">
        <v>1</v>
      </c>
      <c r="H94" s="163">
        <f t="shared" si="2"/>
        <v>7</v>
      </c>
      <c r="J94" s="164"/>
    </row>
    <row r="95" spans="1:10" x14ac:dyDescent="0.2">
      <c r="A95" s="161">
        <v>94</v>
      </c>
      <c r="B95" s="178" t="s">
        <v>478</v>
      </c>
      <c r="C95" s="178" t="s">
        <v>409</v>
      </c>
      <c r="D95" s="258">
        <v>7</v>
      </c>
      <c r="E95" s="204" t="s">
        <v>71</v>
      </c>
      <c r="F95" s="178" t="s">
        <v>71</v>
      </c>
      <c r="G95" s="179">
        <v>1</v>
      </c>
      <c r="H95" s="163">
        <f t="shared" si="2"/>
        <v>7</v>
      </c>
      <c r="J95" s="164"/>
    </row>
    <row r="96" spans="1:10" x14ac:dyDescent="0.2">
      <c r="A96" s="161">
        <v>95</v>
      </c>
      <c r="B96" s="204" t="s">
        <v>455</v>
      </c>
      <c r="C96" s="204" t="s">
        <v>409</v>
      </c>
      <c r="D96" s="258">
        <v>7</v>
      </c>
      <c r="E96" s="204" t="s">
        <v>71</v>
      </c>
      <c r="F96" s="204" t="s">
        <v>71</v>
      </c>
      <c r="G96" s="179">
        <v>1</v>
      </c>
      <c r="H96" s="163">
        <f t="shared" si="2"/>
        <v>7</v>
      </c>
      <c r="J96" s="164"/>
    </row>
    <row r="97" spans="1:10" x14ac:dyDescent="0.2">
      <c r="A97" s="161">
        <v>96</v>
      </c>
      <c r="B97" s="178" t="s">
        <v>451</v>
      </c>
      <c r="C97" s="178" t="s">
        <v>409</v>
      </c>
      <c r="D97" s="184">
        <v>10</v>
      </c>
      <c r="E97" s="178" t="s">
        <v>71</v>
      </c>
      <c r="F97" s="178" t="s">
        <v>71</v>
      </c>
      <c r="G97" s="179">
        <v>1</v>
      </c>
      <c r="H97" s="163">
        <f t="shared" si="2"/>
        <v>10</v>
      </c>
      <c r="J97" s="164"/>
    </row>
    <row r="98" spans="1:10" x14ac:dyDescent="0.2">
      <c r="A98" s="161">
        <v>97</v>
      </c>
      <c r="B98" s="178" t="s">
        <v>452</v>
      </c>
      <c r="C98" s="178" t="s">
        <v>409</v>
      </c>
      <c r="D98" s="184">
        <v>10</v>
      </c>
      <c r="E98" s="178" t="s">
        <v>71</v>
      </c>
      <c r="F98" s="178" t="s">
        <v>71</v>
      </c>
      <c r="G98" s="179">
        <v>1</v>
      </c>
      <c r="H98" s="163">
        <f t="shared" ref="H98:H123" si="3">IF(G98=0,0,D98/G98)</f>
        <v>10</v>
      </c>
      <c r="J98" s="164"/>
    </row>
    <row r="99" spans="1:10" x14ac:dyDescent="0.2">
      <c r="A99" s="161">
        <v>98</v>
      </c>
      <c r="B99" s="204" t="s">
        <v>454</v>
      </c>
      <c r="C99" s="204" t="s">
        <v>409</v>
      </c>
      <c r="D99" s="258">
        <v>16</v>
      </c>
      <c r="E99" s="204" t="s">
        <v>71</v>
      </c>
      <c r="F99" s="204" t="s">
        <v>71</v>
      </c>
      <c r="G99" s="179">
        <v>1</v>
      </c>
      <c r="H99" s="163">
        <f t="shared" si="3"/>
        <v>16</v>
      </c>
      <c r="J99" s="164"/>
    </row>
    <row r="100" spans="1:10" x14ac:dyDescent="0.2">
      <c r="A100" s="161">
        <v>99</v>
      </c>
      <c r="B100" s="301" t="s">
        <v>456</v>
      </c>
      <c r="C100" s="282" t="s">
        <v>409</v>
      </c>
      <c r="D100" s="283">
        <v>8</v>
      </c>
      <c r="E100" s="284" t="s">
        <v>71</v>
      </c>
      <c r="F100" s="282" t="s">
        <v>71</v>
      </c>
      <c r="G100" s="166">
        <v>1</v>
      </c>
      <c r="H100" s="163">
        <f t="shared" si="3"/>
        <v>8</v>
      </c>
      <c r="J100" s="164"/>
    </row>
    <row r="101" spans="1:10" x14ac:dyDescent="0.2">
      <c r="A101" s="161">
        <v>100</v>
      </c>
      <c r="B101" s="189" t="s">
        <v>51</v>
      </c>
      <c r="C101" s="205" t="s">
        <v>34</v>
      </c>
      <c r="D101" s="207">
        <v>13</v>
      </c>
      <c r="E101" s="208" t="s">
        <v>71</v>
      </c>
      <c r="F101" s="205" t="s">
        <v>71</v>
      </c>
      <c r="G101" s="179">
        <v>1</v>
      </c>
      <c r="H101" s="163">
        <f t="shared" si="3"/>
        <v>13</v>
      </c>
      <c r="J101" s="164"/>
    </row>
    <row r="102" spans="1:10" x14ac:dyDescent="0.2">
      <c r="A102" s="161">
        <v>101</v>
      </c>
      <c r="B102" s="189" t="s">
        <v>52</v>
      </c>
      <c r="C102" s="205" t="s">
        <v>11</v>
      </c>
      <c r="D102" s="258">
        <v>110</v>
      </c>
      <c r="E102" s="204" t="s">
        <v>439</v>
      </c>
      <c r="F102" s="205" t="s">
        <v>441</v>
      </c>
      <c r="G102" s="179">
        <v>128</v>
      </c>
      <c r="H102" s="163">
        <f t="shared" si="3"/>
        <v>0.859375</v>
      </c>
      <c r="J102" s="164"/>
    </row>
    <row r="103" spans="1:10" x14ac:dyDescent="0.2">
      <c r="A103" s="161">
        <v>102</v>
      </c>
      <c r="B103" s="289" t="s">
        <v>561</v>
      </c>
      <c r="C103" s="289" t="s">
        <v>11</v>
      </c>
      <c r="D103" s="285">
        <v>830</v>
      </c>
      <c r="E103" s="289" t="s">
        <v>439</v>
      </c>
      <c r="F103" s="289" t="s">
        <v>441</v>
      </c>
      <c r="G103" s="166">
        <v>128</v>
      </c>
      <c r="H103" s="163">
        <f t="shared" si="3"/>
        <v>6.484375</v>
      </c>
      <c r="J103" s="164"/>
    </row>
    <row r="104" spans="1:10" x14ac:dyDescent="0.2">
      <c r="A104" s="161">
        <v>103</v>
      </c>
      <c r="B104" s="189" t="s">
        <v>53</v>
      </c>
      <c r="C104" s="205" t="s">
        <v>19</v>
      </c>
      <c r="D104" s="207">
        <v>3</v>
      </c>
      <c r="E104" s="208" t="s">
        <v>440</v>
      </c>
      <c r="F104" s="205" t="s">
        <v>440</v>
      </c>
      <c r="G104" s="179">
        <v>1</v>
      </c>
      <c r="H104" s="163">
        <f t="shared" si="3"/>
        <v>3</v>
      </c>
      <c r="J104" s="164"/>
    </row>
    <row r="105" spans="1:10" x14ac:dyDescent="0.2">
      <c r="A105" s="161">
        <v>104</v>
      </c>
      <c r="B105" s="189" t="s">
        <v>54</v>
      </c>
      <c r="C105" s="205" t="s">
        <v>19</v>
      </c>
      <c r="D105" s="207">
        <v>1.2</v>
      </c>
      <c r="E105" s="208" t="s">
        <v>440</v>
      </c>
      <c r="F105" s="205" t="s">
        <v>440</v>
      </c>
      <c r="G105" s="179">
        <v>1</v>
      </c>
      <c r="H105" s="163">
        <f t="shared" si="3"/>
        <v>1.2</v>
      </c>
      <c r="J105" s="164"/>
    </row>
    <row r="106" spans="1:10" x14ac:dyDescent="0.2">
      <c r="A106" s="161">
        <v>105</v>
      </c>
      <c r="B106" s="189" t="s">
        <v>399</v>
      </c>
      <c r="C106" s="205" t="s">
        <v>11</v>
      </c>
      <c r="D106" s="258">
        <v>750</v>
      </c>
      <c r="E106" s="204" t="s">
        <v>439</v>
      </c>
      <c r="F106" s="205" t="s">
        <v>441</v>
      </c>
      <c r="G106" s="179">
        <v>128</v>
      </c>
      <c r="H106" s="163">
        <f t="shared" si="3"/>
        <v>5.859375</v>
      </c>
      <c r="J106" s="164"/>
    </row>
    <row r="107" spans="1:10" x14ac:dyDescent="0.2">
      <c r="A107" s="161">
        <v>106</v>
      </c>
      <c r="B107" s="189" t="s">
        <v>55</v>
      </c>
      <c r="C107" s="205" t="s">
        <v>11</v>
      </c>
      <c r="D107" s="258">
        <v>14</v>
      </c>
      <c r="E107" s="204" t="s">
        <v>441</v>
      </c>
      <c r="F107" s="205" t="s">
        <v>441</v>
      </c>
      <c r="G107" s="179">
        <v>1</v>
      </c>
      <c r="H107" s="163">
        <f t="shared" si="3"/>
        <v>14</v>
      </c>
      <c r="J107" s="164"/>
    </row>
    <row r="108" spans="1:10" x14ac:dyDescent="0.2">
      <c r="A108" s="161">
        <v>107</v>
      </c>
      <c r="B108" s="189" t="s">
        <v>56</v>
      </c>
      <c r="C108" s="205" t="s">
        <v>3</v>
      </c>
      <c r="D108" s="207">
        <v>7</v>
      </c>
      <c r="E108" s="208" t="s">
        <v>71</v>
      </c>
      <c r="F108" s="205" t="s">
        <v>71</v>
      </c>
      <c r="G108" s="179">
        <v>1</v>
      </c>
      <c r="H108" s="163">
        <f t="shared" si="3"/>
        <v>7</v>
      </c>
      <c r="J108" s="164"/>
    </row>
    <row r="109" spans="1:10" x14ac:dyDescent="0.2">
      <c r="A109" s="161">
        <v>108</v>
      </c>
      <c r="B109" s="289" t="s">
        <v>498</v>
      </c>
      <c r="C109" s="289" t="s">
        <v>11</v>
      </c>
      <c r="D109" s="285">
        <v>3.9</v>
      </c>
      <c r="E109" s="289" t="s">
        <v>441</v>
      </c>
      <c r="F109" s="289" t="s">
        <v>441</v>
      </c>
      <c r="G109" s="166">
        <v>1</v>
      </c>
      <c r="H109" s="163">
        <f t="shared" si="3"/>
        <v>3.9</v>
      </c>
      <c r="J109" s="164"/>
    </row>
    <row r="110" spans="1:10" x14ac:dyDescent="0.2">
      <c r="A110" s="161">
        <v>109</v>
      </c>
      <c r="B110" s="281" t="s">
        <v>539</v>
      </c>
      <c r="C110" s="282" t="s">
        <v>39</v>
      </c>
      <c r="D110" s="285">
        <v>720</v>
      </c>
      <c r="E110" s="284" t="s">
        <v>439</v>
      </c>
      <c r="F110" s="282" t="s">
        <v>441</v>
      </c>
      <c r="G110" s="166">
        <v>128</v>
      </c>
      <c r="H110" s="163">
        <f t="shared" si="3"/>
        <v>5.625</v>
      </c>
      <c r="J110" s="164"/>
    </row>
    <row r="111" spans="1:10" x14ac:dyDescent="0.2">
      <c r="A111" s="161">
        <v>110</v>
      </c>
      <c r="B111" s="189" t="s">
        <v>57</v>
      </c>
      <c r="C111" s="205" t="s">
        <v>19</v>
      </c>
      <c r="D111" s="207">
        <v>180</v>
      </c>
      <c r="E111" s="208" t="s">
        <v>71</v>
      </c>
      <c r="F111" s="205" t="s">
        <v>71</v>
      </c>
      <c r="G111" s="179">
        <v>1</v>
      </c>
      <c r="H111" s="163">
        <f t="shared" si="3"/>
        <v>180</v>
      </c>
    </row>
    <row r="112" spans="1:10" x14ac:dyDescent="0.2">
      <c r="A112" s="161">
        <v>111</v>
      </c>
      <c r="B112" s="189" t="s">
        <v>58</v>
      </c>
      <c r="C112" s="205" t="s">
        <v>19</v>
      </c>
      <c r="D112" s="207">
        <v>1.05</v>
      </c>
      <c r="E112" s="208" t="s">
        <v>440</v>
      </c>
      <c r="F112" s="181" t="s">
        <v>440</v>
      </c>
      <c r="G112" s="179">
        <v>1</v>
      </c>
      <c r="H112" s="163">
        <f t="shared" si="3"/>
        <v>1.05</v>
      </c>
    </row>
    <row r="113" spans="1:8" x14ac:dyDescent="0.2">
      <c r="A113" s="161">
        <v>112</v>
      </c>
      <c r="B113" s="180" t="s">
        <v>59</v>
      </c>
      <c r="C113" s="181" t="s">
        <v>39</v>
      </c>
      <c r="D113" s="182">
        <v>105</v>
      </c>
      <c r="E113" s="183" t="s">
        <v>439</v>
      </c>
      <c r="F113" s="185" t="s">
        <v>441</v>
      </c>
      <c r="G113" s="179">
        <v>128</v>
      </c>
      <c r="H113" s="163">
        <f t="shared" si="3"/>
        <v>0.8203125</v>
      </c>
    </row>
    <row r="114" spans="1:8" x14ac:dyDescent="0.2">
      <c r="A114" s="161">
        <v>113</v>
      </c>
      <c r="B114" s="189" t="s">
        <v>60</v>
      </c>
      <c r="C114" s="205" t="s">
        <v>29</v>
      </c>
      <c r="D114" s="207">
        <v>0.7</v>
      </c>
      <c r="E114" s="208" t="s">
        <v>72</v>
      </c>
      <c r="F114" s="205" t="s">
        <v>64</v>
      </c>
      <c r="G114" s="179">
        <f>1539/2000</f>
        <v>0.76949999999999996</v>
      </c>
      <c r="H114" s="163">
        <f t="shared" si="3"/>
        <v>0.90968161143599735</v>
      </c>
    </row>
    <row r="115" spans="1:8" x14ac:dyDescent="0.2">
      <c r="A115" s="161">
        <v>114</v>
      </c>
      <c r="B115" s="189" t="s">
        <v>61</v>
      </c>
      <c r="C115" s="205" t="s">
        <v>29</v>
      </c>
      <c r="D115" s="207">
        <v>1.23</v>
      </c>
      <c r="E115" s="208" t="s">
        <v>72</v>
      </c>
      <c r="F115" s="205" t="s">
        <v>64</v>
      </c>
      <c r="G115" s="179">
        <f>1362/2000</f>
        <v>0.68100000000000005</v>
      </c>
      <c r="H115" s="163">
        <f t="shared" si="3"/>
        <v>1.8061674008810571</v>
      </c>
    </row>
    <row r="116" spans="1:8" x14ac:dyDescent="0.2">
      <c r="A116" s="161">
        <v>115</v>
      </c>
      <c r="B116" s="189" t="s">
        <v>62</v>
      </c>
      <c r="C116" s="205" t="s">
        <v>29</v>
      </c>
      <c r="D116" s="207">
        <f>30/450</f>
        <v>6.6666666666666666E-2</v>
      </c>
      <c r="E116" s="208" t="s">
        <v>72</v>
      </c>
      <c r="F116" s="205" t="s">
        <v>64</v>
      </c>
      <c r="G116" s="179">
        <f>60/2000</f>
        <v>0.03</v>
      </c>
      <c r="H116" s="163">
        <f t="shared" si="3"/>
        <v>2.2222222222222223</v>
      </c>
    </row>
    <row r="117" spans="1:8" x14ac:dyDescent="0.2">
      <c r="A117" s="161">
        <v>116</v>
      </c>
      <c r="B117" s="189" t="s">
        <v>63</v>
      </c>
      <c r="C117" s="205" t="s">
        <v>7</v>
      </c>
      <c r="D117" s="207">
        <v>1</v>
      </c>
      <c r="E117" s="208" t="s">
        <v>64</v>
      </c>
      <c r="F117" s="205" t="s">
        <v>64</v>
      </c>
      <c r="G117" s="179">
        <v>1</v>
      </c>
      <c r="H117" s="163">
        <f t="shared" si="3"/>
        <v>1</v>
      </c>
    </row>
    <row r="118" spans="1:8" x14ac:dyDescent="0.2">
      <c r="A118" s="161">
        <v>117</v>
      </c>
      <c r="B118" s="281" t="s">
        <v>502</v>
      </c>
      <c r="C118" s="282" t="s">
        <v>11</v>
      </c>
      <c r="D118" s="283">
        <v>83</v>
      </c>
      <c r="E118" s="284" t="s">
        <v>440</v>
      </c>
      <c r="F118" s="282" t="s">
        <v>441</v>
      </c>
      <c r="G118" s="166">
        <v>16</v>
      </c>
      <c r="H118" s="163">
        <f t="shared" si="3"/>
        <v>5.1875</v>
      </c>
    </row>
    <row r="119" spans="1:8" x14ac:dyDescent="0.2">
      <c r="A119" s="161">
        <v>118</v>
      </c>
      <c r="B119" s="204" t="s">
        <v>554</v>
      </c>
      <c r="C119" s="204" t="s">
        <v>11</v>
      </c>
      <c r="D119" s="258">
        <v>35</v>
      </c>
      <c r="E119" s="204" t="s">
        <v>440</v>
      </c>
      <c r="F119" s="204" t="s">
        <v>440</v>
      </c>
      <c r="G119" s="179">
        <v>1</v>
      </c>
      <c r="H119" s="163">
        <f t="shared" si="3"/>
        <v>35</v>
      </c>
    </row>
    <row r="120" spans="1:8" x14ac:dyDescent="0.2">
      <c r="A120" s="161">
        <v>119</v>
      </c>
      <c r="B120" s="289" t="s">
        <v>558</v>
      </c>
      <c r="C120" s="289" t="s">
        <v>11</v>
      </c>
      <c r="D120" s="285">
        <v>500</v>
      </c>
      <c r="E120" s="289" t="s">
        <v>439</v>
      </c>
      <c r="F120" s="289" t="s">
        <v>441</v>
      </c>
      <c r="G120" s="166">
        <v>128</v>
      </c>
      <c r="H120" s="163">
        <f t="shared" si="3"/>
        <v>3.90625</v>
      </c>
    </row>
    <row r="121" spans="1:8" x14ac:dyDescent="0.2">
      <c r="A121" s="161">
        <v>120</v>
      </c>
      <c r="B121" s="189" t="s">
        <v>426</v>
      </c>
      <c r="C121" s="205" t="s">
        <v>21</v>
      </c>
      <c r="D121" s="207">
        <v>380</v>
      </c>
      <c r="E121" s="208" t="s">
        <v>439</v>
      </c>
      <c r="F121" s="205" t="s">
        <v>441</v>
      </c>
      <c r="G121" s="179">
        <v>128</v>
      </c>
      <c r="H121" s="163">
        <f t="shared" si="3"/>
        <v>2.96875</v>
      </c>
    </row>
    <row r="122" spans="1:8" x14ac:dyDescent="0.2">
      <c r="A122" s="161">
        <v>121</v>
      </c>
      <c r="B122" s="172" t="s">
        <v>592</v>
      </c>
      <c r="C122" s="172" t="s">
        <v>19</v>
      </c>
      <c r="D122" s="170">
        <v>0.12</v>
      </c>
      <c r="E122" s="172" t="s">
        <v>440</v>
      </c>
      <c r="F122" s="172" t="s">
        <v>440</v>
      </c>
      <c r="G122" s="299">
        <v>1</v>
      </c>
      <c r="H122" s="300">
        <f t="shared" si="3"/>
        <v>0.12</v>
      </c>
    </row>
    <row r="123" spans="1:8" x14ac:dyDescent="0.2">
      <c r="A123" s="161">
        <v>122</v>
      </c>
      <c r="B123" s="69" t="s">
        <v>544</v>
      </c>
      <c r="C123" s="69" t="s">
        <v>19</v>
      </c>
      <c r="D123" s="285">
        <v>0.28000000000000003</v>
      </c>
      <c r="E123" s="69" t="s">
        <v>440</v>
      </c>
      <c r="F123" s="282" t="s">
        <v>440</v>
      </c>
      <c r="G123" s="299">
        <v>1</v>
      </c>
      <c r="H123" s="300">
        <f t="shared" si="3"/>
        <v>0.28000000000000003</v>
      </c>
    </row>
    <row r="124" spans="1:8" x14ac:dyDescent="0.2">
      <c r="A124" s="161">
        <v>123</v>
      </c>
    </row>
    <row r="125" spans="1:8" x14ac:dyDescent="0.2">
      <c r="A125" s="161">
        <v>124</v>
      </c>
    </row>
    <row r="126" spans="1:8" x14ac:dyDescent="0.2">
      <c r="A126" s="161">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3" t="s">
        <v>563</v>
      </c>
      <c r="B2" s="32"/>
      <c r="C2" s="33"/>
      <c r="D2" s="33"/>
      <c r="E2" s="32"/>
      <c r="F2" s="200" t="s">
        <v>103</v>
      </c>
      <c r="G2" s="32"/>
      <c r="J2" s="23"/>
      <c r="K2" s="24" t="str">
        <f>'General Variables'!A3&amp;" "&amp;'General Variables'!B3</f>
        <v>Year 2015</v>
      </c>
      <c r="O2" s="39" t="s">
        <v>460</v>
      </c>
    </row>
    <row r="3" spans="1:15" hidden="1" x14ac:dyDescent="0.2">
      <c r="A3" s="193" t="s">
        <v>102</v>
      </c>
      <c r="B3" s="32"/>
      <c r="C3" s="33"/>
      <c r="D3" s="33"/>
      <c r="E3" s="32"/>
      <c r="F3" s="33"/>
      <c r="G3" s="38"/>
      <c r="H3" s="201">
        <v>22</v>
      </c>
      <c r="I3" s="32" t="str">
        <f>IF(H3="","","acre-inches")</f>
        <v>acre-inches</v>
      </c>
      <c r="J3" s="23"/>
      <c r="K3" s="23"/>
      <c r="O3" s="39" t="s">
        <v>459</v>
      </c>
    </row>
    <row r="4" spans="1:15" hidden="1" x14ac:dyDescent="0.2">
      <c r="A4" s="193">
        <v>6.6</v>
      </c>
      <c r="B4" s="193" t="s">
        <v>64</v>
      </c>
      <c r="C4" s="33"/>
      <c r="D4" s="33"/>
      <c r="E4" s="32"/>
      <c r="F4" s="32"/>
      <c r="G4" s="32"/>
      <c r="H4" s="32"/>
      <c r="I4" s="32"/>
      <c r="J4" s="23"/>
      <c r="K4" s="23"/>
      <c r="O4" s="39" t="str">
        <f>B4</f>
        <v>ton</v>
      </c>
    </row>
    <row r="5" spans="1:15" ht="30" customHeight="1" x14ac:dyDescent="0.25">
      <c r="A5" s="334" t="str">
        <f>'General Variables'!B3 &amp; " " &amp; A2 &amp; ", " &amp; A3 &amp; IF(A4=""," ", " (") &amp; A4 &amp; " " &amp; B4 &amp; IF(A4="",""," Actual Yield)")</f>
        <v>2015 Budget 13. Alfalfa, Large Square (6.6 ton Actual Yield)</v>
      </c>
      <c r="B5" s="334"/>
      <c r="C5" s="334"/>
      <c r="D5" s="334"/>
      <c r="E5" s="334"/>
      <c r="F5" s="334"/>
      <c r="G5" s="334"/>
      <c r="H5" s="334"/>
      <c r="I5" s="334"/>
      <c r="J5" s="334"/>
      <c r="K5" s="334"/>
      <c r="L5" s="334"/>
      <c r="O5" s="39"/>
    </row>
    <row r="6" spans="1:15" ht="15.75" x14ac:dyDescent="0.25">
      <c r="A6" s="194" t="str">
        <f>IF(F2="Dryland","Dryland",F2 &amp; IF(G2="","",", "&amp;G2)&amp;IF(H3="","",", "&amp;H3&amp;" "&amp;I3))</f>
        <v>Canal Irrigated, 22 acre-inches</v>
      </c>
      <c r="B6" s="193"/>
      <c r="C6" s="33"/>
      <c r="D6" s="33"/>
      <c r="E6" s="32"/>
      <c r="F6" s="32"/>
      <c r="G6" s="32"/>
      <c r="H6" s="32"/>
      <c r="I6" s="32"/>
      <c r="J6" s="262" t="s">
        <v>570</v>
      </c>
      <c r="K6" s="290"/>
      <c r="O6" s="39"/>
    </row>
    <row r="8" spans="1:15" s="40" customFormat="1" ht="22.5" customHeight="1" x14ac:dyDescent="0.2">
      <c r="B8" s="330" t="s">
        <v>80</v>
      </c>
      <c r="C8" s="329" t="s">
        <v>1</v>
      </c>
      <c r="D8" s="196"/>
      <c r="E8" s="329" t="str">
        <f>"Labor @ $" &amp;TEXT('General Variables'!B4,"#.00")&amp; " /Hr"</f>
        <v>Labor @ $20.00 /Hr</v>
      </c>
      <c r="F8" s="329" t="str">
        <f>"Fuel @ $" &amp; TEXT('General Variables'!B5,"#.00") &amp; " and Lube"</f>
        <v>Fuel @ $3.25 and Lube</v>
      </c>
      <c r="G8" s="332" t="s">
        <v>81</v>
      </c>
      <c r="H8" s="332"/>
      <c r="I8" s="332" t="s">
        <v>382</v>
      </c>
      <c r="J8" s="332"/>
      <c r="K8" s="332" t="s">
        <v>2</v>
      </c>
      <c r="L8" s="329" t="s">
        <v>402</v>
      </c>
    </row>
    <row r="9" spans="1:15" s="40" customFormat="1" ht="17.25" customHeight="1" thickBot="1" x14ac:dyDescent="0.25">
      <c r="B9" s="331"/>
      <c r="C9" s="328"/>
      <c r="D9" s="197" t="s">
        <v>77</v>
      </c>
      <c r="E9" s="328"/>
      <c r="F9" s="328"/>
      <c r="G9" s="198" t="s">
        <v>82</v>
      </c>
      <c r="H9" s="198" t="s">
        <v>84</v>
      </c>
      <c r="I9" s="198" t="s">
        <v>82</v>
      </c>
      <c r="J9" s="198" t="s">
        <v>84</v>
      </c>
      <c r="K9" s="333"/>
      <c r="L9" s="328"/>
    </row>
    <row r="10" spans="1:15" ht="13.5" thickTop="1" x14ac:dyDescent="0.2">
      <c r="A10" s="199">
        <v>1</v>
      </c>
      <c r="B10" s="173" t="s">
        <v>320</v>
      </c>
      <c r="C10" s="67">
        <v>1</v>
      </c>
      <c r="D10" s="175"/>
      <c r="E10" s="35">
        <f>IF(B10=0,"",IF(C10&gt;9999,"",ROUND('General Variables'!$B$4*VLOOKUP(B10,Operations[],10,FALSE)/VLOOKUP(B10,Operations[],9,FALSE)*C10,2)))</f>
        <v>1.57</v>
      </c>
      <c r="F10" s="35">
        <f>IF(B10=0,0,IF(C10&gt;9999,"",ROUND(IF(VLOOKUP(B10,Operations[],12,FALSE)=0,VLOOKUP(B10,Operations[],13,FALSE)*'General Variables'!$B$8,VLOOKUP(B10,Operations[],12,FALSE)*'General Variables'!$B$7)/VLOOKUP(B10,Operations[],9,FALSE)*C10,2)))</f>
        <v>1.1399999999999999</v>
      </c>
      <c r="G10" s="35">
        <f>IF(B10=0,0,IF(C10&gt;9999,"",ROUND(VLOOKUP(VLOOKUP(B10,Operations[],11,FALSE),PowerUnits[],10,FALSE)/VLOOKUP(B10,Operations[],9,FALSE)*C10,2)))</f>
        <v>0.65</v>
      </c>
      <c r="H10" s="35">
        <f>IF(B10=0,"",IF(C10&gt;9999,"",ROUND(VLOOKUP($B10,Operations[],15,FALSE)*C10,2)))</f>
        <v>0</v>
      </c>
      <c r="I10" s="35">
        <f>IF(B10=0,0,IF(C10&gt;9999,"",ROUND(VLOOKUP(VLOOKUP(B10,Operations[],11,FALSE),PowerUnits[],16,FALSE)/VLOOKUP(B10,Operations[],9,FALSE)*C10,2)))</f>
        <v>2.15</v>
      </c>
      <c r="J10" s="35">
        <f>IF(B10=0,"",IF(C10&gt;9999,"",ROUND(VLOOKUP($B10,Operations[],21,FALSE)*$C10,2)))</f>
        <v>0</v>
      </c>
      <c r="K10" s="35">
        <f>IF(C10&gt;9999,"",ROUND(SUM(E10:J10),2))</f>
        <v>5.51</v>
      </c>
      <c r="L10" s="41"/>
    </row>
    <row r="11" spans="1:15" x14ac:dyDescent="0.2">
      <c r="A11" s="199">
        <v>2</v>
      </c>
      <c r="B11" s="173" t="s">
        <v>323</v>
      </c>
      <c r="C11" s="67">
        <v>4</v>
      </c>
      <c r="D11" s="175"/>
      <c r="E11" s="35">
        <f>IF(B11=0,"",IF(C11&gt;9999,"",ROUND('General Variables'!$B$4*VLOOKUP(B11,Operations[],10,FALSE)/VLOOKUP(B11,Operations[],9,FALSE)*C11,2)))</f>
        <v>10</v>
      </c>
      <c r="F11" s="35">
        <f>IF(B11=0,0,IF(C11&gt;9999,"",ROUND(IF(VLOOKUP(B11,Operations[],12,FALSE)=0,VLOOKUP(B11,Operations[],13,FALSE)*'General Variables'!$B$8,VLOOKUP(B11,Operations[],12,FALSE)*'General Variables'!$B$7)/VLOOKUP(B11,Operations[],9,FALSE)*C11,2)))</f>
        <v>9.34</v>
      </c>
      <c r="G11" s="35">
        <f>IF(B11=0,0,IF(C11&gt;9999,"",ROUND(VLOOKUP(VLOOKUP(B11,Operations[],11,FALSE),PowerUnits[],10,FALSE)/VLOOKUP(B11,Operations[],9,FALSE)*C11,2)))</f>
        <v>8.75</v>
      </c>
      <c r="H11" s="35">
        <f>IF(B11=0,"",IF(C11&gt;9999,"",ROUND(VLOOKUP($B11,Operations[],15,FALSE)*C11,2)))</f>
        <v>1.1499999999999999</v>
      </c>
      <c r="I11" s="35">
        <f>IF(B11=0,0,IF(C11&gt;9999,"",ROUND(VLOOKUP(VLOOKUP(B11,Operations[],11,FALSE),PowerUnits[],16,FALSE)/VLOOKUP(B11,Operations[],9,FALSE)*C11,2)))</f>
        <v>13.84</v>
      </c>
      <c r="J11" s="35">
        <f>IF(B11=0,"",IF(C11&gt;9999,"",ROUND(VLOOKUP($B11,Operations[],21,FALSE)*$C11,2)))</f>
        <v>1.73</v>
      </c>
      <c r="K11" s="35">
        <f t="shared" ref="K11:K29" si="0">IF(C11&gt;9999,"",ROUND(SUM(E11:J11),2))</f>
        <v>44.81</v>
      </c>
      <c r="L11" s="41"/>
    </row>
    <row r="12" spans="1:15" x14ac:dyDescent="0.2">
      <c r="A12" s="199">
        <v>3</v>
      </c>
      <c r="B12" s="173" t="s">
        <v>327</v>
      </c>
      <c r="C12" s="67">
        <v>1</v>
      </c>
      <c r="D12" s="175"/>
      <c r="E12" s="35">
        <f>IF(B12=0,"",IF(C12&gt;9999,"",ROUND('General Variables'!$B$4*VLOOKUP(B12,Operations[],10,FALSE)/VLOOKUP(B12,Operations[],9,FALSE)*C12,2)))</f>
        <v>1.67</v>
      </c>
      <c r="F12" s="35">
        <f>IF(B12=0,0,IF(C12&gt;9999,"",ROUND(IF(VLOOKUP(B12,Operations[],12,FALSE)=0,VLOOKUP(B12,Operations[],13,FALSE)*'General Variables'!$B$8,VLOOKUP(B12,Operations[],12,FALSE)*'General Variables'!$B$7)/VLOOKUP(B12,Operations[],9,FALSE)*C12,2)))</f>
        <v>0.65</v>
      </c>
      <c r="G12" s="35">
        <f>IF(B12=0,0,IF(C12&gt;9999,"",ROUND(VLOOKUP(VLOOKUP(B12,Operations[],11,FALSE),PowerUnits[],10,FALSE)/VLOOKUP(B12,Operations[],9,FALSE)*C12,2)))</f>
        <v>0.69</v>
      </c>
      <c r="H12" s="35">
        <f>IF(B12=0,"",IF(C12&gt;9999,"",ROUND(VLOOKUP($B12,Operations[],15,FALSE)*C12,2)))</f>
        <v>0.1</v>
      </c>
      <c r="I12" s="35">
        <f>IF(B12=0,0,IF(C12&gt;9999,"",ROUND(VLOOKUP(VLOOKUP(B12,Operations[],11,FALSE),PowerUnits[],16,FALSE)/VLOOKUP(B12,Operations[],9,FALSE)*C12,2)))</f>
        <v>2.2799999999999998</v>
      </c>
      <c r="J12" s="35">
        <f>IF(B12=0,"",IF(C12&gt;9999,"",ROUND(VLOOKUP($B12,Operations[],21,FALSE)*$C12,2)))</f>
        <v>0.31</v>
      </c>
      <c r="K12" s="35">
        <f t="shared" si="0"/>
        <v>5.7</v>
      </c>
      <c r="L12" s="41"/>
    </row>
    <row r="13" spans="1:15" x14ac:dyDescent="0.2">
      <c r="A13" s="199">
        <v>4</v>
      </c>
      <c r="B13" s="173" t="s">
        <v>292</v>
      </c>
      <c r="C13" s="67">
        <v>4</v>
      </c>
      <c r="D13" s="175"/>
      <c r="E13" s="35">
        <f>IF(B13=0,"",IF(C13&gt;9999,"",ROUND('General Variables'!$B$4*VLOOKUP(B13,Operations[],10,FALSE)/VLOOKUP(B13,Operations[],9,FALSE)*C13,2)))</f>
        <v>4.4000000000000004</v>
      </c>
      <c r="F13" s="35">
        <f>IF(B13=0,0,IF(C13&gt;9999,"",ROUND(IF(VLOOKUP(B13,Operations[],12,FALSE)=0,VLOOKUP(B13,Operations[],13,FALSE)*'General Variables'!$B$8,VLOOKUP(B13,Operations[],12,FALSE)*'General Variables'!$B$7)/VLOOKUP(B13,Operations[],9,FALSE)*C13,2)))</f>
        <v>1.58</v>
      </c>
      <c r="G13" s="35">
        <f>IF(B13=0,0,IF(C13&gt;9999,"",ROUND(VLOOKUP(VLOOKUP(B13,Operations[],11,FALSE),PowerUnits[],10,FALSE)/VLOOKUP(B13,Operations[],9,FALSE)*C13,2)))</f>
        <v>1.65</v>
      </c>
      <c r="H13" s="35">
        <f>IF(B13=0,"",IF(C13&gt;9999,"",ROUND(VLOOKUP($B13,Operations[],15,FALSE)*C13,2)))</f>
        <v>0.21</v>
      </c>
      <c r="I13" s="35">
        <f>IF(B13=0,0,IF(C13&gt;9999,"",ROUND(VLOOKUP(VLOOKUP(B13,Operations[],11,FALSE),PowerUnits[],16,FALSE)/VLOOKUP(B13,Operations[],9,FALSE)*C13,2)))</f>
        <v>5.47</v>
      </c>
      <c r="J13" s="35">
        <f>IF(B13=0,"",IF(C13&gt;9999,"",ROUND(VLOOKUP($B13,Operations[],21,FALSE)*$C13,2)))</f>
        <v>1.58</v>
      </c>
      <c r="K13" s="35">
        <f t="shared" si="0"/>
        <v>14.89</v>
      </c>
      <c r="L13" s="41"/>
    </row>
    <row r="14" spans="1:15" x14ac:dyDescent="0.2">
      <c r="A14" s="199">
        <v>5</v>
      </c>
      <c r="B14" s="173" t="s">
        <v>300</v>
      </c>
      <c r="C14" s="67" t="s">
        <v>3</v>
      </c>
      <c r="D14" s="175"/>
      <c r="E14" s="35" t="str">
        <f>IF(B14=0,"",IF(C14&gt;9999,"",ROUND('General Variables'!$B$4*VLOOKUP(B14,Operations[],10,FALSE)/VLOOKUP(B14,Operations[],9,FALSE)*C14,2)))</f>
        <v/>
      </c>
      <c r="F14" s="35" t="str">
        <f>IF(B14=0,0,IF(C14&gt;9999,"",ROUND(IF(VLOOKUP(B14,Operations[],12,FALSE)=0,VLOOKUP(B14,Operations[],13,FALSE)*'General Variables'!$B$8,VLOOKUP(B14,Operations[],12,FALSE)*'General Variables'!$B$7)/VLOOKUP(B14,Operations[],9,FALSE)*C14,2)))</f>
        <v/>
      </c>
      <c r="G14" s="35" t="str">
        <f>IF(B14=0,0,IF(C14&gt;9999,"",ROUND(VLOOKUP(VLOOKUP(B14,Operations[],11,FALSE),PowerUnits[],10,FALSE)/VLOOKUP(B14,Operations[],9,FALSE)*C14,2)))</f>
        <v/>
      </c>
      <c r="H14" s="35" t="str">
        <f>IF(B14=0,"",IF(C14&gt;9999,"",ROUND(VLOOKUP($B14,Operations[],15,FALSE)*C14,2)))</f>
        <v/>
      </c>
      <c r="I14" s="35" t="str">
        <f>IF(B14=0,0,IF(C14&gt;9999,"",ROUND(VLOOKUP(VLOOKUP(B14,Operations[],11,FALSE),PowerUnits[],16,FALSE)/VLOOKUP(B14,Operations[],9,FALSE)*C14,2)))</f>
        <v/>
      </c>
      <c r="J14" s="35" t="str">
        <f>IF(B14=0,"",IF(C14&gt;9999,"",ROUND(VLOOKUP($B14,Operations[],21,FALSE)*$C14,2)))</f>
        <v/>
      </c>
      <c r="K14" s="35" t="str">
        <f>IF(C14&gt;9999,"",ROUND(SUM(E14:J14),2))</f>
        <v/>
      </c>
      <c r="L14" s="41"/>
    </row>
    <row r="15" spans="1:15" x14ac:dyDescent="0.2">
      <c r="A15" s="199">
        <v>6</v>
      </c>
      <c r="B15" s="173" t="s">
        <v>302</v>
      </c>
      <c r="C15" s="67" t="s">
        <v>3</v>
      </c>
      <c r="D15" s="175"/>
      <c r="E15" s="35" t="str">
        <f>IF(B15=0,"",IF(C15&gt;9999,"",ROUND('General Variables'!$B$4*VLOOKUP(B15,Operations[],10,FALSE)/VLOOKUP(B15,Operations[],9,FALSE)*C15,2)))</f>
        <v/>
      </c>
      <c r="F15" s="35" t="str">
        <f>IF(B15=0,0,IF(C15&gt;9999,"",ROUND(IF(VLOOKUP(B15,Operations[],12,FALSE)=0,VLOOKUP(B15,Operations[],13,FALSE)*'General Variables'!$B$8,VLOOKUP(B15,Operations[],12,FALSE)*'General Variables'!$B$7)/VLOOKUP(B15,Operations[],9,FALSE)*C15,2)))</f>
        <v/>
      </c>
      <c r="G15" s="35" t="str">
        <f>IF(B15=0,0,IF(C15&gt;9999,"",ROUND(VLOOKUP(VLOOKUP(B15,Operations[],11,FALSE),PowerUnits[],10,FALSE)/VLOOKUP(B15,Operations[],9,FALSE)*C15,2)))</f>
        <v/>
      </c>
      <c r="H15" s="35" t="str">
        <f>IF(B15=0,"",IF(C15&gt;9999,"",ROUND(VLOOKUP($B15,Operations[],15,FALSE)*C15,2)))</f>
        <v/>
      </c>
      <c r="I15" s="35" t="str">
        <f>IF(B15=0,0,IF(C15&gt;9999,"",ROUND(VLOOKUP(VLOOKUP(B15,Operations[],11,FALSE),PowerUnits[],16,FALSE)/VLOOKUP(B15,Operations[],9,FALSE)*C15,2)))</f>
        <v/>
      </c>
      <c r="J15" s="35" t="str">
        <f>IF(B15=0,"",IF(C15&gt;9999,"",ROUND(VLOOKUP($B15,Operations[],21,FALSE)*$C15,2)))</f>
        <v/>
      </c>
      <c r="K15" s="35" t="str">
        <f>IF(C15&gt;9999,"",ROUND(SUM(E15:J15),2))</f>
        <v/>
      </c>
      <c r="L15" s="41"/>
    </row>
    <row r="16" spans="1:15" x14ac:dyDescent="0.2">
      <c r="A16" s="199">
        <v>7</v>
      </c>
      <c r="B16" s="173" t="s">
        <v>447</v>
      </c>
      <c r="C16" s="67">
        <v>1</v>
      </c>
      <c r="D16" s="175"/>
      <c r="E16" s="35">
        <f>IF(B16=0,"",IF(C16&gt;9999,"",ROUND('General Variables'!$B$4*VLOOKUP(B16,Operations[],10,FALSE)/VLOOKUP(B16,Operations[],9,FALSE)*C16,2)))</f>
        <v>3.13</v>
      </c>
      <c r="F16" s="35">
        <f>IF(B16=0,0,IF(C16&gt;9999,"",ROUND(IF(VLOOKUP(B16,Operations[],12,FALSE)=0,VLOOKUP(B16,Operations[],13,FALSE)*'General Variables'!$B$8,VLOOKUP(B16,Operations[],12,FALSE)*'General Variables'!$B$7)/VLOOKUP(B16,Operations[],9,FALSE)*C16,2)))</f>
        <v>2.34</v>
      </c>
      <c r="G16" s="35">
        <f>IF(B16=0,0,IF(C16&gt;9999,"",ROUND(VLOOKUP(VLOOKUP(B16,Operations[],11,FALSE),PowerUnits[],10,FALSE)/VLOOKUP(B16,Operations[],9,FALSE)*C16,2)))</f>
        <v>1.17</v>
      </c>
      <c r="H16" s="35">
        <f>IF(B16=0,"",IF(C16&gt;9999,"",ROUND(VLOOKUP($B16,Operations[],15,FALSE)*C16,2)))</f>
        <v>0.87</v>
      </c>
      <c r="I16" s="35">
        <f>IF(B16=0,0,IF(C16&gt;9999,"",ROUND(VLOOKUP(VLOOKUP(B16,Operations[],11,FALSE),PowerUnits[],16,FALSE)/VLOOKUP(B16,Operations[],9,FALSE)*C16,2)))</f>
        <v>3.89</v>
      </c>
      <c r="J16" s="35">
        <f>IF(B16=0,"",IF(C16&gt;9999,"",ROUND(VLOOKUP($B16,Operations[],21,FALSE)*$C16,2)))</f>
        <v>5.29</v>
      </c>
      <c r="K16" s="35">
        <f t="shared" si="0"/>
        <v>16.690000000000001</v>
      </c>
      <c r="L16" s="41"/>
    </row>
    <row r="17" spans="1:12" x14ac:dyDescent="0.2">
      <c r="A17" s="199">
        <v>8</v>
      </c>
      <c r="B17" s="173" t="s">
        <v>291</v>
      </c>
      <c r="C17" s="67">
        <f>H3</f>
        <v>22</v>
      </c>
      <c r="D17" s="175" t="s">
        <v>459</v>
      </c>
      <c r="E17" s="36">
        <f>IF(B17=0,"",IF(C17&gt;9999,"",ROUND('General Variables'!$B$4*VLOOKUP(B17,Operations[],10,FALSE)/VLOOKUP(B17,Operations[],9,FALSE)*C17,2)))</f>
        <v>24.44</v>
      </c>
      <c r="F17" s="36"/>
      <c r="G17" s="36"/>
      <c r="H17" s="36"/>
      <c r="I17" s="36"/>
      <c r="J17" s="36"/>
      <c r="K17" s="36">
        <f>SUM(E17:J17)</f>
        <v>24.44</v>
      </c>
      <c r="L17" s="41"/>
    </row>
    <row r="18" spans="1:12" x14ac:dyDescent="0.2">
      <c r="A18" s="199">
        <v>9</v>
      </c>
      <c r="B18" s="173" t="s">
        <v>56</v>
      </c>
      <c r="C18" s="67">
        <v>0.25</v>
      </c>
      <c r="D18" s="176"/>
      <c r="E18" s="35">
        <f>IF(B18=0,"",IF(C18&gt;9999,"",ROUND('General Variables'!$B$4*VLOOKUP(B18,Operations[],10,FALSE)/VLOOKUP(B18,Operations[],9,FALSE)*C18,2)))</f>
        <v>0.25</v>
      </c>
      <c r="F18" s="35">
        <f>IF(B18=0,0,IF(C18&gt;9999,"",ROUND(IF(VLOOKUP(B18,Operations[],12,FALSE)=0,VLOOKUP(B18,Operations[],13,FALSE)*'General Variables'!$B$8,VLOOKUP(B18,Operations[],12,FALSE)*'General Variables'!$B$7)/VLOOKUP(B18,Operations[],9,FALSE)*C18,2)))</f>
        <v>0.1</v>
      </c>
      <c r="G18" s="35">
        <f>IF(B18=0,0,IF(C18&gt;9999,"",ROUND(VLOOKUP(VLOOKUP(B18,Operations[],11,FALSE),PowerUnits[],10,FALSE)/VLOOKUP(B18,Operations[],9,FALSE)*C18,2)))</f>
        <v>0.08</v>
      </c>
      <c r="H18" s="35">
        <f>IF(B18=0,"",IF(C18&gt;9999,"",ROUND(VLOOKUP($B18,Operations[],15,FALSE)*C18,2)))</f>
        <v>0.16</v>
      </c>
      <c r="I18" s="35">
        <f>IF(B18=0,0,IF(C18&gt;9999,"",ROUND(VLOOKUP(VLOOKUP(B18,Operations[],11,FALSE),PowerUnits[],16,FALSE)/VLOOKUP(B18,Operations[],9,FALSE)*C18,2)))</f>
        <v>0.27</v>
      </c>
      <c r="J18" s="35">
        <f>IF(B18=0,"",IF(C18&gt;9999,"",ROUND(VLOOKUP($B18,Operations[],21,FALSE)*$C18,2)))</f>
        <v>0.21</v>
      </c>
      <c r="K18" s="35">
        <f t="shared" si="0"/>
        <v>1.07</v>
      </c>
      <c r="L18" s="41"/>
    </row>
    <row r="19" spans="1:12" x14ac:dyDescent="0.2">
      <c r="A19" s="199">
        <v>10</v>
      </c>
      <c r="B19" s="173" t="s">
        <v>56</v>
      </c>
      <c r="C19" s="67">
        <v>0.25</v>
      </c>
      <c r="D19" s="176"/>
      <c r="E19" s="35">
        <f>IF(B19=0,"",IF(C19&gt;9999,"",ROUND('General Variables'!$B$4*VLOOKUP(B19,Operations[],10,FALSE)/VLOOKUP(B19,Operations[],9,FALSE)*C19,2)))</f>
        <v>0.25</v>
      </c>
      <c r="F19" s="35">
        <f>IF(B19=0,0,IF(C19&gt;9999,"",ROUND(IF(VLOOKUP(B19,Operations[],12,FALSE)=0,VLOOKUP(B19,Operations[],13,FALSE)*'General Variables'!$B$8,VLOOKUP(B19,Operations[],12,FALSE)*'General Variables'!$B$7)/VLOOKUP(B19,Operations[],9,FALSE)*C19,2)))</f>
        <v>0.1</v>
      </c>
      <c r="G19" s="35">
        <f>IF(B19=0,0,IF(C19&gt;9999,"",ROUND(VLOOKUP(VLOOKUP(B19,Operations[],11,FALSE),PowerUnits[],10,FALSE)/VLOOKUP(B19,Operations[],9,FALSE)*C19,2)))</f>
        <v>0.08</v>
      </c>
      <c r="H19" s="35">
        <f>IF(B19=0,"",IF(C19&gt;9999,"",ROUND(VLOOKUP($B19,Operations[],15,FALSE)*C19,2)))</f>
        <v>0.16</v>
      </c>
      <c r="I19" s="35">
        <f>IF(B19=0,0,IF(C19&gt;9999,"",ROUND(VLOOKUP(VLOOKUP(B19,Operations[],11,FALSE),PowerUnits[],16,FALSE)/VLOOKUP(B19,Operations[],9,FALSE)*C19,2)))</f>
        <v>0.27</v>
      </c>
      <c r="J19" s="35">
        <f>IF(B19=0,"",IF(C19&gt;9999,"",ROUND(VLOOKUP($B19,Operations[],21,FALSE)*$C19,2)))</f>
        <v>0.21</v>
      </c>
      <c r="K19" s="35">
        <f t="shared" si="0"/>
        <v>1.07</v>
      </c>
      <c r="L19" s="41"/>
    </row>
    <row r="20" spans="1:12" hidden="1" x14ac:dyDescent="0.2">
      <c r="A20" s="199">
        <v>11</v>
      </c>
      <c r="B20" s="174"/>
      <c r="C20" s="68"/>
      <c r="D20" s="176"/>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199">
        <v>12</v>
      </c>
      <c r="B21" s="174"/>
      <c r="C21" s="68"/>
      <c r="D21" s="176"/>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199">
        <v>13</v>
      </c>
      <c r="B22" s="174"/>
      <c r="C22" s="68"/>
      <c r="D22" s="176"/>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199">
        <v>14</v>
      </c>
      <c r="B23" s="174"/>
      <c r="C23" s="68"/>
      <c r="D23" s="176"/>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199">
        <v>15</v>
      </c>
      <c r="B24" s="174"/>
      <c r="C24" s="68"/>
      <c r="D24" s="176"/>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199">
        <v>16</v>
      </c>
      <c r="B25" s="174"/>
      <c r="C25" s="68"/>
      <c r="D25" s="176"/>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199">
        <v>17</v>
      </c>
      <c r="B26" s="174"/>
      <c r="C26" s="68"/>
      <c r="D26" s="176"/>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199">
        <v>18</v>
      </c>
      <c r="B27" s="174"/>
      <c r="C27" s="68"/>
      <c r="D27" s="176"/>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199">
        <v>19</v>
      </c>
      <c r="B28" s="174"/>
      <c r="C28" s="68"/>
      <c r="D28" s="176"/>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199">
        <v>20</v>
      </c>
      <c r="B29" s="174"/>
      <c r="C29" s="68"/>
      <c r="D29" s="176"/>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199"/>
      <c r="B30" s="43"/>
      <c r="C30" s="44"/>
      <c r="D30" s="44"/>
      <c r="E30" s="37"/>
      <c r="F30" s="37"/>
      <c r="G30" s="37"/>
      <c r="H30" s="37"/>
      <c r="I30" s="37"/>
      <c r="J30" s="37"/>
      <c r="K30" s="37"/>
      <c r="L30" s="45"/>
    </row>
    <row r="31" spans="1:12" ht="13.5" thickTop="1" x14ac:dyDescent="0.2">
      <c r="C31" s="46" t="s">
        <v>83</v>
      </c>
      <c r="D31" s="46"/>
      <c r="E31" s="34">
        <f>SUM(E10:E29)</f>
        <v>45.71</v>
      </c>
      <c r="F31" s="34">
        <f t="shared" ref="F31:K31" si="1">SUM(F10:F29)</f>
        <v>15.25</v>
      </c>
      <c r="G31" s="34">
        <f t="shared" si="1"/>
        <v>13.07</v>
      </c>
      <c r="H31" s="34">
        <f t="shared" si="1"/>
        <v>2.6500000000000004</v>
      </c>
      <c r="I31" s="34">
        <f t="shared" si="1"/>
        <v>28.169999999999998</v>
      </c>
      <c r="J31" s="34">
        <f t="shared" si="1"/>
        <v>9.3300000000000018</v>
      </c>
      <c r="K31" s="34">
        <f t="shared" si="1"/>
        <v>114.17999999999998</v>
      </c>
      <c r="L31" s="41"/>
    </row>
    <row r="33" spans="2:12" ht="24" customHeight="1" thickBot="1" x14ac:dyDescent="0.25">
      <c r="B33" s="38"/>
      <c r="C33" s="38"/>
      <c r="D33" s="38"/>
      <c r="E33" s="38"/>
      <c r="F33" s="328" t="s">
        <v>97</v>
      </c>
      <c r="G33" s="328" t="s">
        <v>94</v>
      </c>
      <c r="H33" s="329" t="s">
        <v>98</v>
      </c>
      <c r="I33" s="329"/>
      <c r="J33" s="328" t="s">
        <v>69</v>
      </c>
      <c r="L33" s="329" t="s">
        <v>402</v>
      </c>
    </row>
    <row r="34" spans="2:12" s="47" customFormat="1" ht="14.25" thickTop="1" thickBot="1" x14ac:dyDescent="0.25">
      <c r="B34" s="48" t="s">
        <v>93</v>
      </c>
      <c r="C34" s="197"/>
      <c r="D34" s="197"/>
      <c r="E34" s="197"/>
      <c r="F34" s="328"/>
      <c r="G34" s="328"/>
      <c r="H34" s="197" t="s">
        <v>99</v>
      </c>
      <c r="I34" s="197" t="s">
        <v>77</v>
      </c>
      <c r="J34" s="328"/>
      <c r="K34" s="197" t="s">
        <v>95</v>
      </c>
      <c r="L34" s="328"/>
    </row>
    <row r="35" spans="2:12" ht="13.5" thickTop="1" x14ac:dyDescent="0.2">
      <c r="B35" s="173" t="s">
        <v>9</v>
      </c>
      <c r="C35" s="315" t="str">
        <f>IF(B35=0,"",VLOOKUP($B35,Materials[],2,FALSE))</f>
        <v>Fertilizer</v>
      </c>
      <c r="D35" s="315"/>
      <c r="E35" s="315"/>
      <c r="F35" s="67">
        <v>1</v>
      </c>
      <c r="G35" s="70">
        <v>1</v>
      </c>
      <c r="H35" s="286">
        <v>75</v>
      </c>
      <c r="I35" s="49" t="str">
        <f>IF($B35=0,"",VLOOKUP($B35,Materials[],5,FALSE))</f>
        <v>pound</v>
      </c>
      <c r="J35" s="50">
        <f>IF($B35=0,"",VLOOKUP($B35,Materials[],7,FALSE))</f>
        <v>0.3</v>
      </c>
      <c r="K35" s="34">
        <f>IF(B35=0,0,ROUND(G35*H35*J35,2))</f>
        <v>22.5</v>
      </c>
      <c r="L35" s="41"/>
    </row>
    <row r="36" spans="2:12" x14ac:dyDescent="0.2">
      <c r="B36" s="173" t="s">
        <v>577</v>
      </c>
      <c r="C36" s="315" t="str">
        <f>IF(B36=0,"",VLOOKUP($B36,Materials[],2,FALSE))</f>
        <v>Custom</v>
      </c>
      <c r="D36" s="315"/>
      <c r="E36" s="315"/>
      <c r="F36" s="67">
        <v>5</v>
      </c>
      <c r="G36" s="70">
        <v>1</v>
      </c>
      <c r="H36" s="286">
        <f>A4</f>
        <v>6.6</v>
      </c>
      <c r="I36" s="49" t="str">
        <f>IF($B36=0,"",VLOOKUP($B36,Materials[],5,FALSE))</f>
        <v>ton</v>
      </c>
      <c r="J36" s="50">
        <f>IF($B36=0,"",VLOOKUP($B36,Materials[],7,FALSE))</f>
        <v>19.117647058823529</v>
      </c>
      <c r="K36" s="34">
        <f t="shared" ref="K36:K59" si="2">IF(B36=0,0,ROUND(G36*H36*J36,2))</f>
        <v>126.18</v>
      </c>
      <c r="L36" s="41"/>
    </row>
    <row r="37" spans="2:12" x14ac:dyDescent="0.2">
      <c r="B37" s="173" t="s">
        <v>530</v>
      </c>
      <c r="C37" s="315" t="str">
        <f>IF(B37=0,"",VLOOKUP($B37,Materials[],2,FALSE))</f>
        <v>Custom</v>
      </c>
      <c r="D37" s="315"/>
      <c r="E37" s="315"/>
      <c r="F37" s="67">
        <v>6</v>
      </c>
      <c r="G37" s="70">
        <v>1</v>
      </c>
      <c r="H37" s="286">
        <v>6.6</v>
      </c>
      <c r="I37" s="49" t="str">
        <f>IF($B37=0,"",VLOOKUP($B37,Materials[],5,FALSE))</f>
        <v>ton</v>
      </c>
      <c r="J37" s="50">
        <f>IF($B37=0,"",VLOOKUP($B37,Materials[],7,FALSE))</f>
        <v>2.9368575624082229</v>
      </c>
      <c r="K37" s="34">
        <f t="shared" si="2"/>
        <v>19.38</v>
      </c>
      <c r="L37" s="41"/>
    </row>
    <row r="38" spans="2:12" x14ac:dyDescent="0.2">
      <c r="B38" s="273" t="s">
        <v>546</v>
      </c>
      <c r="C38" s="315" t="str">
        <f>IF(B38=0,"",VLOOKUP($B38,Materials[],2,FALSE))</f>
        <v>Other</v>
      </c>
      <c r="D38" s="315"/>
      <c r="E38" s="315"/>
      <c r="F38" s="269">
        <v>8</v>
      </c>
      <c r="G38" s="271">
        <v>1</v>
      </c>
      <c r="H38" s="286">
        <v>1</v>
      </c>
      <c r="I38" s="49" t="str">
        <f>IF($B38=0,"",VLOOKUP($B38,Materials[],5,FALSE))</f>
        <v>acre</v>
      </c>
      <c r="J38" s="50">
        <f>IF($B38=0,"",VLOOKUP($B38,Materials[],7,FALSE))</f>
        <v>30</v>
      </c>
      <c r="K38" s="34">
        <f t="shared" si="2"/>
        <v>30</v>
      </c>
      <c r="L38" s="41"/>
    </row>
    <row r="39" spans="2:12" x14ac:dyDescent="0.2">
      <c r="B39" s="273" t="s">
        <v>48</v>
      </c>
      <c r="C39" s="315" t="str">
        <f>IF(B39=0,"",VLOOKUP($B39,Materials[],2,FALSE))</f>
        <v>Herbicide</v>
      </c>
      <c r="D39" s="315"/>
      <c r="E39" s="315"/>
      <c r="F39" s="269">
        <v>9</v>
      </c>
      <c r="G39" s="271">
        <v>0.25</v>
      </c>
      <c r="H39" s="286">
        <v>4.5</v>
      </c>
      <c r="I39" s="49" t="str">
        <f>IF($B39=0,"",VLOOKUP($B39,Materials[],5,FALSE))</f>
        <v>ounce</v>
      </c>
      <c r="J39" s="50">
        <f>IF($B39=0,"",VLOOKUP($B39,Materials[],7,FALSE))</f>
        <v>3.75</v>
      </c>
      <c r="K39" s="34">
        <f t="shared" si="2"/>
        <v>4.22</v>
      </c>
      <c r="L39" s="41"/>
    </row>
    <row r="40" spans="2:12" x14ac:dyDescent="0.2">
      <c r="B40" s="273" t="s">
        <v>26</v>
      </c>
      <c r="C40" s="315" t="str">
        <f>IF(B40=0,"",VLOOKUP($B40,Materials[],2,FALSE))</f>
        <v>Additive</v>
      </c>
      <c r="D40" s="315"/>
      <c r="E40" s="315"/>
      <c r="F40" s="269">
        <v>9</v>
      </c>
      <c r="G40" s="271">
        <v>0.25</v>
      </c>
      <c r="H40" s="286">
        <v>2</v>
      </c>
      <c r="I40" s="49" t="str">
        <f>IF($B40=0,"",VLOOKUP($B40,Materials[],5,FALSE))</f>
        <v>pint</v>
      </c>
      <c r="J40" s="50">
        <f>IF($B40=0,"",VLOOKUP($B40,Materials[],7,FALSE))</f>
        <v>1.3125</v>
      </c>
      <c r="K40" s="34">
        <f t="shared" si="2"/>
        <v>0.66</v>
      </c>
      <c r="L40" s="41"/>
    </row>
    <row r="41" spans="2:12" x14ac:dyDescent="0.2">
      <c r="B41" s="273" t="s">
        <v>465</v>
      </c>
      <c r="C41" s="315" t="str">
        <f>IF(B41=0,"",VLOOKUP($B41,Materials[],2,FALSE))</f>
        <v>Insecticide</v>
      </c>
      <c r="D41" s="315"/>
      <c r="E41" s="315"/>
      <c r="F41" s="269">
        <v>10</v>
      </c>
      <c r="G41" s="271">
        <v>0.25</v>
      </c>
      <c r="H41" s="286">
        <v>3</v>
      </c>
      <c r="I41" s="49" t="str">
        <f>IF($B41=0,"",VLOOKUP($B41,Materials[],5,FALSE))</f>
        <v>ounce</v>
      </c>
      <c r="J41" s="50">
        <f>IF($B41=0,"",VLOOKUP($B41,Materials[],7,FALSE))</f>
        <v>1.484375</v>
      </c>
      <c r="K41" s="34">
        <f t="shared" si="2"/>
        <v>1.1100000000000001</v>
      </c>
      <c r="L41" s="41"/>
    </row>
    <row r="42" spans="2:12" hidden="1" x14ac:dyDescent="0.2">
      <c r="B42" s="174"/>
      <c r="C42" s="315" t="str">
        <f>IF(B42=0,"",VLOOKUP($B42,Materials[],2,FALSE))</f>
        <v/>
      </c>
      <c r="D42" s="315"/>
      <c r="E42" s="315"/>
      <c r="F42" s="68"/>
      <c r="G42" s="71"/>
      <c r="H42" s="288"/>
      <c r="I42" s="49" t="str">
        <f>IF($B42=0,"",VLOOKUP($B42,Materials[],5,FALSE))</f>
        <v/>
      </c>
      <c r="J42" s="50" t="str">
        <f>IF($B42=0,"",VLOOKUP($B42,Materials[],7,FALSE))</f>
        <v/>
      </c>
      <c r="K42" s="34">
        <f t="shared" si="2"/>
        <v>0</v>
      </c>
      <c r="L42" s="41"/>
    </row>
    <row r="43" spans="2:12" hidden="1" x14ac:dyDescent="0.2">
      <c r="B43" s="174"/>
      <c r="C43" s="315" t="str">
        <f>IF(B43=0,"",VLOOKUP($B43,Materials[],2,FALSE))</f>
        <v/>
      </c>
      <c r="D43" s="315"/>
      <c r="E43" s="315"/>
      <c r="F43" s="68"/>
      <c r="G43" s="71"/>
      <c r="H43" s="288"/>
      <c r="I43" s="49" t="str">
        <f>IF($B43=0,"",VLOOKUP($B43,Materials[],5,FALSE))</f>
        <v/>
      </c>
      <c r="J43" s="50" t="str">
        <f>IF($B43=0,"",VLOOKUP($B43,Materials[],7,FALSE))</f>
        <v/>
      </c>
      <c r="K43" s="34">
        <f t="shared" si="2"/>
        <v>0</v>
      </c>
      <c r="L43" s="41"/>
    </row>
    <row r="44" spans="2:12" hidden="1" x14ac:dyDescent="0.2">
      <c r="B44" s="174"/>
      <c r="C44" s="315" t="str">
        <f>IF(B44=0,"",VLOOKUP($B44,Materials[],2,FALSE))</f>
        <v/>
      </c>
      <c r="D44" s="315"/>
      <c r="E44" s="315"/>
      <c r="F44" s="68"/>
      <c r="G44" s="71"/>
      <c r="H44" s="288"/>
      <c r="I44" s="49" t="str">
        <f>IF($B44=0,"",VLOOKUP($B44,Materials[],5,FALSE))</f>
        <v/>
      </c>
      <c r="J44" s="50" t="str">
        <f>IF($B44=0,"",VLOOKUP($B44,Materials[],7,FALSE))</f>
        <v/>
      </c>
      <c r="K44" s="34">
        <f t="shared" si="2"/>
        <v>0</v>
      </c>
      <c r="L44" s="41"/>
    </row>
    <row r="45" spans="2:12" hidden="1" x14ac:dyDescent="0.2">
      <c r="B45" s="174"/>
      <c r="C45" s="315" t="str">
        <f>IF(B45=0,"",VLOOKUP($B45,Materials[],2,FALSE))</f>
        <v/>
      </c>
      <c r="D45" s="315"/>
      <c r="E45" s="315"/>
      <c r="F45" s="68"/>
      <c r="G45" s="71"/>
      <c r="H45" s="288"/>
      <c r="I45" s="49" t="str">
        <f>IF($B45=0,"",VLOOKUP($B45,Materials[],5,FALSE))</f>
        <v/>
      </c>
      <c r="J45" s="50" t="str">
        <f>IF($B45=0,"",VLOOKUP($B45,Materials[],7,FALSE))</f>
        <v/>
      </c>
      <c r="K45" s="34">
        <f t="shared" si="2"/>
        <v>0</v>
      </c>
      <c r="L45" s="41"/>
    </row>
    <row r="46" spans="2:12" hidden="1" x14ac:dyDescent="0.2">
      <c r="B46" s="174"/>
      <c r="C46" s="315" t="str">
        <f>IF(B46=0,"",VLOOKUP($B46,Materials[],2,FALSE))</f>
        <v/>
      </c>
      <c r="D46" s="315"/>
      <c r="E46" s="315"/>
      <c r="F46" s="68"/>
      <c r="G46" s="71"/>
      <c r="H46" s="288"/>
      <c r="I46" s="49" t="str">
        <f>IF($B46=0,"",VLOOKUP($B46,Materials[],5,FALSE))</f>
        <v/>
      </c>
      <c r="J46" s="50" t="str">
        <f>IF($B46=0,"",VLOOKUP($B46,Materials[],7,FALSE))</f>
        <v/>
      </c>
      <c r="K46" s="34">
        <f t="shared" si="2"/>
        <v>0</v>
      </c>
      <c r="L46" s="41"/>
    </row>
    <row r="47" spans="2:12" hidden="1" x14ac:dyDescent="0.2">
      <c r="B47" s="174"/>
      <c r="C47" s="315" t="str">
        <f>IF(B47=0,"",VLOOKUP($B47,Materials[],2,FALSE))</f>
        <v/>
      </c>
      <c r="D47" s="315"/>
      <c r="E47" s="315"/>
      <c r="F47" s="68"/>
      <c r="G47" s="71"/>
      <c r="H47" s="288"/>
      <c r="I47" s="49" t="str">
        <f>IF($B47=0,"",VLOOKUP($B47,Materials[],5,FALSE))</f>
        <v/>
      </c>
      <c r="J47" s="50" t="str">
        <f>IF($B47=0,"",VLOOKUP($B47,Materials[],7,FALSE))</f>
        <v/>
      </c>
      <c r="K47" s="34">
        <f t="shared" si="2"/>
        <v>0</v>
      </c>
      <c r="L47" s="41"/>
    </row>
    <row r="48" spans="2:12" hidden="1" x14ac:dyDescent="0.2">
      <c r="B48" s="174"/>
      <c r="C48" s="315" t="str">
        <f>IF(B48=0,"",VLOOKUP($B48,Materials[],2,FALSE))</f>
        <v/>
      </c>
      <c r="D48" s="315"/>
      <c r="E48" s="315"/>
      <c r="F48" s="68"/>
      <c r="G48" s="71"/>
      <c r="H48" s="288"/>
      <c r="I48" s="49" t="str">
        <f>IF($B48=0,"",VLOOKUP($B48,Materials[],5,FALSE))</f>
        <v/>
      </c>
      <c r="J48" s="50" t="str">
        <f>IF($B48=0,"",VLOOKUP($B48,Materials[],7,FALSE))</f>
        <v/>
      </c>
      <c r="K48" s="34">
        <f t="shared" si="2"/>
        <v>0</v>
      </c>
      <c r="L48" s="41"/>
    </row>
    <row r="49" spans="2:12" hidden="1" x14ac:dyDescent="0.2">
      <c r="B49" s="174"/>
      <c r="C49" s="315" t="str">
        <f>IF(B49=0,"",VLOOKUP($B49,Materials[],2,FALSE))</f>
        <v/>
      </c>
      <c r="D49" s="315"/>
      <c r="E49" s="315"/>
      <c r="F49" s="68"/>
      <c r="G49" s="71"/>
      <c r="H49" s="288"/>
      <c r="I49" s="49" t="str">
        <f>IF($B49=0,"",VLOOKUP($B49,Materials[],5,FALSE))</f>
        <v/>
      </c>
      <c r="J49" s="50" t="str">
        <f>IF($B49=0,"",VLOOKUP($B49,Materials[],7,FALSE))</f>
        <v/>
      </c>
      <c r="K49" s="34">
        <f t="shared" si="2"/>
        <v>0</v>
      </c>
      <c r="L49" s="41"/>
    </row>
    <row r="50" spans="2:12" hidden="1" x14ac:dyDescent="0.2">
      <c r="B50" s="174"/>
      <c r="C50" s="315" t="str">
        <f>IF(B50=0,"",VLOOKUP($B50,Materials[],2,FALSE))</f>
        <v/>
      </c>
      <c r="D50" s="315"/>
      <c r="E50" s="315"/>
      <c r="F50" s="68"/>
      <c r="G50" s="71"/>
      <c r="H50" s="288"/>
      <c r="I50" s="49" t="str">
        <f>IF($B50=0,"",VLOOKUP($B50,Materials[],5,FALSE))</f>
        <v/>
      </c>
      <c r="J50" s="50" t="str">
        <f>IF($B50=0,"",VLOOKUP($B50,Materials[],7,FALSE))</f>
        <v/>
      </c>
      <c r="K50" s="34">
        <f t="shared" si="2"/>
        <v>0</v>
      </c>
      <c r="L50" s="41"/>
    </row>
    <row r="51" spans="2:12" hidden="1" x14ac:dyDescent="0.2">
      <c r="B51" s="174"/>
      <c r="C51" s="315" t="str">
        <f>IF(B51=0,"",VLOOKUP($B51,Materials[],2,FALSE))</f>
        <v/>
      </c>
      <c r="D51" s="315"/>
      <c r="E51" s="315"/>
      <c r="F51" s="68"/>
      <c r="G51" s="71"/>
      <c r="H51" s="288"/>
      <c r="I51" s="49" t="str">
        <f>IF($B51=0,"",VLOOKUP($B51,Materials[],5,FALSE))</f>
        <v/>
      </c>
      <c r="J51" s="50" t="str">
        <f>IF($B51=0,"",VLOOKUP($B51,Materials[],7,FALSE))</f>
        <v/>
      </c>
      <c r="K51" s="34">
        <f t="shared" si="2"/>
        <v>0</v>
      </c>
      <c r="L51" s="41"/>
    </row>
    <row r="52" spans="2:12" hidden="1" x14ac:dyDescent="0.2">
      <c r="B52" s="174"/>
      <c r="C52" s="315" t="str">
        <f>IF(B52=0,"",VLOOKUP($B52,Materials[],2,FALSE))</f>
        <v/>
      </c>
      <c r="D52" s="315"/>
      <c r="E52" s="315"/>
      <c r="F52" s="68"/>
      <c r="G52" s="71"/>
      <c r="H52" s="288"/>
      <c r="I52" s="49" t="str">
        <f>IF($B52=0,"",VLOOKUP($B52,Materials[],5,FALSE))</f>
        <v/>
      </c>
      <c r="J52" s="50" t="str">
        <f>IF($B52=0,"",VLOOKUP($B52,Materials[],7,FALSE))</f>
        <v/>
      </c>
      <c r="K52" s="34">
        <f t="shared" si="2"/>
        <v>0</v>
      </c>
      <c r="L52" s="41"/>
    </row>
    <row r="53" spans="2:12" hidden="1" x14ac:dyDescent="0.2">
      <c r="B53" s="174"/>
      <c r="C53" s="315" t="str">
        <f>IF(B53=0,"",VLOOKUP($B53,Materials[],2,FALSE))</f>
        <v/>
      </c>
      <c r="D53" s="315"/>
      <c r="E53" s="315"/>
      <c r="F53" s="68"/>
      <c r="G53" s="71"/>
      <c r="H53" s="288"/>
      <c r="I53" s="49" t="str">
        <f>IF($B53=0,"",VLOOKUP($B53,Materials[],5,FALSE))</f>
        <v/>
      </c>
      <c r="J53" s="50" t="str">
        <f>IF($B53=0,"",VLOOKUP($B53,Materials[],7,FALSE))</f>
        <v/>
      </c>
      <c r="K53" s="34">
        <f t="shared" si="2"/>
        <v>0</v>
      </c>
      <c r="L53" s="42"/>
    </row>
    <row r="54" spans="2:12" hidden="1" x14ac:dyDescent="0.2">
      <c r="B54" s="174"/>
      <c r="C54" s="315" t="str">
        <f>IF(B54=0,"",VLOOKUP($B54,Materials[],2,FALSE))</f>
        <v/>
      </c>
      <c r="D54" s="315"/>
      <c r="E54" s="315"/>
      <c r="F54" s="68"/>
      <c r="G54" s="71"/>
      <c r="H54" s="288"/>
      <c r="I54" s="49" t="str">
        <f>IF($B54=0,"",VLOOKUP($B54,Materials[],5,FALSE))</f>
        <v/>
      </c>
      <c r="J54" s="50" t="str">
        <f>IF($B54=0,"",VLOOKUP($B54,Materials[],7,FALSE))</f>
        <v/>
      </c>
      <c r="K54" s="34">
        <f>IF(B54=0,0,ROUND(G54*H54*J54,2))</f>
        <v>0</v>
      </c>
      <c r="L54" s="42"/>
    </row>
    <row r="55" spans="2:12" hidden="1" x14ac:dyDescent="0.2">
      <c r="B55" s="174"/>
      <c r="C55" s="315" t="str">
        <f>IF(B55=0,"",VLOOKUP($B55,Materials[],2,FALSE))</f>
        <v/>
      </c>
      <c r="D55" s="315"/>
      <c r="E55" s="315"/>
      <c r="F55" s="68"/>
      <c r="G55" s="71"/>
      <c r="H55" s="288"/>
      <c r="I55" s="49" t="str">
        <f>IF($B55=0,"",VLOOKUP($B55,Materials[],5,FALSE))</f>
        <v/>
      </c>
      <c r="J55" s="50" t="str">
        <f>IF($B55=0,"",VLOOKUP($B55,Materials[],7,FALSE))</f>
        <v/>
      </c>
      <c r="K55" s="34">
        <f>IF(B55=0,0,ROUND(G55*H55*J55,2))</f>
        <v>0</v>
      </c>
      <c r="L55" s="42"/>
    </row>
    <row r="56" spans="2:12" hidden="1" x14ac:dyDescent="0.2">
      <c r="B56" s="174"/>
      <c r="C56" s="315" t="str">
        <f>IF(B56=0,"",VLOOKUP($B56,Materials[],2,FALSE))</f>
        <v/>
      </c>
      <c r="D56" s="315"/>
      <c r="E56" s="315"/>
      <c r="F56" s="68"/>
      <c r="G56" s="71"/>
      <c r="H56" s="288"/>
      <c r="I56" s="49" t="str">
        <f>IF($B56=0,"",VLOOKUP($B56,Materials[],5,FALSE))</f>
        <v/>
      </c>
      <c r="J56" s="50" t="str">
        <f>IF($B56=0,"",VLOOKUP($B56,Materials[],7,FALSE))</f>
        <v/>
      </c>
      <c r="K56" s="34">
        <f>IF(B56=0,0,ROUND(G56*H56*J56,2))</f>
        <v>0</v>
      </c>
      <c r="L56" s="42"/>
    </row>
    <row r="57" spans="2:12" hidden="1" x14ac:dyDescent="0.2">
      <c r="B57" s="174"/>
      <c r="C57" s="315" t="str">
        <f>IF(B57=0,"",VLOOKUP($B57,Materials[],2,FALSE))</f>
        <v/>
      </c>
      <c r="D57" s="315"/>
      <c r="E57" s="315"/>
      <c r="F57" s="68"/>
      <c r="G57" s="71"/>
      <c r="H57" s="288"/>
      <c r="I57" s="49" t="str">
        <f>IF($B57=0,"",VLOOKUP($B57,Materials[],5,FALSE))</f>
        <v/>
      </c>
      <c r="J57" s="50" t="str">
        <f>IF($B57=0,"",VLOOKUP($B57,Materials[],7,FALSE))</f>
        <v/>
      </c>
      <c r="K57" s="34">
        <f>IF(B57=0,0,ROUND(G57*H57*J57,2))</f>
        <v>0</v>
      </c>
      <c r="L57" s="42"/>
    </row>
    <row r="58" spans="2:12" hidden="1" x14ac:dyDescent="0.2">
      <c r="B58" s="174"/>
      <c r="C58" s="315" t="str">
        <f>IF(B58=0,"",VLOOKUP($B58,Materials[],2,FALSE))</f>
        <v/>
      </c>
      <c r="D58" s="315"/>
      <c r="E58" s="315"/>
      <c r="F58" s="68"/>
      <c r="G58" s="71"/>
      <c r="H58" s="288"/>
      <c r="I58" s="49" t="str">
        <f>IF($B58=0,"",VLOOKUP($B58,Materials[],5,FALSE))</f>
        <v/>
      </c>
      <c r="J58" s="50" t="str">
        <f>IF($B58=0,"",VLOOKUP($B58,Materials[],7,FALSE))</f>
        <v/>
      </c>
      <c r="K58" s="34">
        <f>IF(B58=0,0,ROUND(G58*H58*J58,2))</f>
        <v>0</v>
      </c>
      <c r="L58" s="42"/>
    </row>
    <row r="59" spans="2:12" hidden="1" x14ac:dyDescent="0.2">
      <c r="B59" s="174"/>
      <c r="C59" s="315" t="str">
        <f>IF(B59=0,"",VLOOKUP($B59,Materials[],2,FALSE))</f>
        <v/>
      </c>
      <c r="D59" s="315"/>
      <c r="E59" s="315"/>
      <c r="F59" s="68"/>
      <c r="G59" s="71"/>
      <c r="H59" s="288"/>
      <c r="I59" s="49" t="str">
        <f>IF($B59=0,"",VLOOKUP($B59,Materials[],5,FALSE))</f>
        <v/>
      </c>
      <c r="J59" s="50" t="str">
        <f>IF($B59=0,"",VLOOKUP($B59,Materials[],7,FALSE))</f>
        <v/>
      </c>
      <c r="K59" s="35">
        <f t="shared" si="2"/>
        <v>0</v>
      </c>
      <c r="L59" s="42"/>
    </row>
    <row r="60" spans="2:12" ht="3.75" customHeight="1" thickBot="1" x14ac:dyDescent="0.25">
      <c r="B60" s="43"/>
      <c r="C60" s="51"/>
      <c r="D60" s="51"/>
      <c r="E60" s="51"/>
      <c r="F60" s="44"/>
      <c r="G60" s="52"/>
      <c r="H60" s="53"/>
      <c r="I60" s="54"/>
      <c r="J60" s="55"/>
      <c r="K60" s="37"/>
      <c r="L60" s="45"/>
    </row>
    <row r="61" spans="2:12" ht="13.5" thickTop="1" x14ac:dyDescent="0.2">
      <c r="C61" s="46" t="s">
        <v>96</v>
      </c>
      <c r="D61" s="46"/>
      <c r="J61" s="34"/>
      <c r="K61" s="276">
        <f>SUM(K35:K59)</f>
        <v>204.05</v>
      </c>
      <c r="L61" s="41"/>
    </row>
    <row r="62" spans="2:12" x14ac:dyDescent="0.2">
      <c r="K62" s="276"/>
    </row>
    <row r="63" spans="2:12" x14ac:dyDescent="0.2">
      <c r="B63" s="40" t="s">
        <v>100</v>
      </c>
      <c r="K63" s="276">
        <f>K31+K61</f>
        <v>318.23</v>
      </c>
      <c r="L63" s="41"/>
    </row>
    <row r="64" spans="2:12" ht="13.5" thickBot="1" x14ac:dyDescent="0.25">
      <c r="D64" s="56" t="s">
        <v>403</v>
      </c>
      <c r="E64" s="57">
        <f>SUM($E$31:$H$31)+$K$61</f>
        <v>280.73</v>
      </c>
      <c r="F64" s="324" t="s">
        <v>404</v>
      </c>
      <c r="G64" s="324"/>
      <c r="H64" s="58">
        <f>'General Variables'!$B$11</f>
        <v>5.5E-2</v>
      </c>
      <c r="I64" s="59" t="str">
        <f>CONCATENATE("for ",TEXT('General Variables'!$B$12,"0.0")," mo.")</f>
        <v>for 6.0 mo.</v>
      </c>
      <c r="K64" s="277">
        <f>ROUND(E64*H64*'General Variables'!$B$12/12,2)</f>
        <v>7.72</v>
      </c>
      <c r="L64" s="60"/>
    </row>
    <row r="65" spans="2:12" ht="13.5" thickTop="1" x14ac:dyDescent="0.2">
      <c r="B65" s="40" t="s">
        <v>408</v>
      </c>
      <c r="K65" s="276">
        <f>SUM(K63:K64)</f>
        <v>325.95000000000005</v>
      </c>
      <c r="L65" s="41"/>
    </row>
    <row r="66" spans="2:12" x14ac:dyDescent="0.2">
      <c r="K66" s="276"/>
    </row>
    <row r="67" spans="2:12" x14ac:dyDescent="0.2">
      <c r="B67" s="61" t="s">
        <v>436</v>
      </c>
      <c r="C67" s="62"/>
      <c r="D67" s="62"/>
      <c r="E67" s="62"/>
      <c r="F67" s="62"/>
      <c r="G67" s="62"/>
      <c r="H67" s="62"/>
      <c r="I67" s="62"/>
      <c r="J67" s="62"/>
      <c r="K67" s="278">
        <f>'General Variables'!B14</f>
        <v>20</v>
      </c>
      <c r="L67" s="41"/>
    </row>
    <row r="68" spans="2:12" x14ac:dyDescent="0.2">
      <c r="B68" s="20" t="s">
        <v>411</v>
      </c>
      <c r="C68" s="325" t="s">
        <v>413</v>
      </c>
      <c r="D68" s="326"/>
      <c r="E68" s="327"/>
      <c r="F68" s="63">
        <f>IF(C68=0,0,VLOOKUP(C68,RETable,2,FALSE))</f>
        <v>7310</v>
      </c>
      <c r="G68" s="324" t="s">
        <v>412</v>
      </c>
      <c r="H68" s="324"/>
      <c r="I68" s="58">
        <f>'General Variables'!$B$10</f>
        <v>0.04</v>
      </c>
      <c r="K68" s="279">
        <f>ROUND(F68*I68,2)</f>
        <v>292.39999999999998</v>
      </c>
      <c r="L68" s="41"/>
    </row>
    <row r="69" spans="2:12" ht="13.5" thickBot="1" x14ac:dyDescent="0.25">
      <c r="B69" s="20" t="s">
        <v>420</v>
      </c>
      <c r="F69" s="64">
        <f>IF(C68=0,0,VLOOKUP(C68,RETable,2,FALSE))</f>
        <v>7310</v>
      </c>
      <c r="G69" s="323" t="s">
        <v>412</v>
      </c>
      <c r="H69" s="323"/>
      <c r="I69" s="65">
        <f>'General Variables'!$B$13</f>
        <v>0.01</v>
      </c>
      <c r="J69" s="1"/>
      <c r="K69" s="280">
        <f>ROUND(F69*I69,2)</f>
        <v>73.099999999999994</v>
      </c>
      <c r="L69" s="60"/>
    </row>
    <row r="70" spans="2:12" ht="13.5" thickTop="1" x14ac:dyDescent="0.2">
      <c r="B70" s="40" t="s">
        <v>425</v>
      </c>
      <c r="K70" s="276">
        <f>SUM(K65:K69)</f>
        <v>711.45</v>
      </c>
      <c r="L70" s="41"/>
    </row>
    <row r="72" spans="2:12" x14ac:dyDescent="0.2">
      <c r="B72" s="40" t="str">
        <f>"Cost per "&amp;$B$4</f>
        <v>Cost per ton</v>
      </c>
      <c r="K72" s="34">
        <f>IF(A4="Yield",0,K70/$A$4)</f>
        <v>107.79545454545456</v>
      </c>
      <c r="L72" s="41"/>
    </row>
    <row r="73" spans="2:12" x14ac:dyDescent="0.2">
      <c r="B73" s="23" t="str">
        <f>"Cash Cost per "&amp;$B$4</f>
        <v>Cash Cost per ton</v>
      </c>
      <c r="C73" s="1"/>
      <c r="D73" s="1"/>
      <c r="E73" s="1"/>
      <c r="F73" s="1"/>
      <c r="G73" s="1"/>
      <c r="H73" s="1"/>
      <c r="I73" s="1"/>
      <c r="J73" s="1"/>
      <c r="K73" s="11">
        <f>IF($A$4="Yield",0,(E64+K64+K69)/$A$4)</f>
        <v>54.780303030303045</v>
      </c>
      <c r="L73" s="66"/>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row>
    <row r="109" spans="2:11" x14ac:dyDescent="0.2">
      <c r="B109" s="1" t="str">
        <f>IF(Operations!A3="","",Operations!A3)</f>
        <v>Anhy Apply (supplier)</v>
      </c>
      <c r="C109" s="1" t="str">
        <f>IF(Materials!B3="","",Materials!B3)</f>
        <v>10-34-0-1Z</v>
      </c>
      <c r="D109" s="1"/>
      <c r="F109" s="20" t="str">
        <f>IF('General Variables'!E6=0,"",'General Variables'!E6)</f>
        <v>Dryland (Panhandle)</v>
      </c>
      <c r="K109" s="20" t="s">
        <v>571</v>
      </c>
    </row>
    <row r="110" spans="2:11" x14ac:dyDescent="0.2">
      <c r="B110" s="1" t="str">
        <f>IF(Operations!A4="","",Operations!A4)</f>
        <v>Anhydrous Apply</v>
      </c>
      <c r="C110" s="1" t="str">
        <f>IF(Materials!B4="","",Materials!B4)</f>
        <v>11-52-0</v>
      </c>
      <c r="D110" s="1"/>
      <c r="F110" s="20" t="str">
        <f>IF('General Variables'!E7=0,"",'General Variables'!E7)</f>
        <v>Gravity (State)</v>
      </c>
      <c r="K110" s="20" t="s">
        <v>572</v>
      </c>
    </row>
    <row r="111" spans="2:11" x14ac:dyDescent="0.2">
      <c r="B111" s="1" t="str">
        <f>IF(Operations!A5="","",Operations!A5)</f>
        <v>Cart</v>
      </c>
      <c r="C111" s="1" t="str">
        <f>IF(Materials!B5="","",Materials!B5)</f>
        <v>2,4-D Amine</v>
      </c>
      <c r="D111" s="1"/>
      <c r="F111" s="20" t="str">
        <f>IF('General Variables'!E8=0,"",'General Variables'!E8)</f>
        <v>Gravity (Panhandle)</v>
      </c>
    </row>
    <row r="112" spans="2:11" x14ac:dyDescent="0.2">
      <c r="B112" s="1" t="str">
        <f>IF(Operations!A6="","",Operations!A6)</f>
        <v>Chisel</v>
      </c>
      <c r="C112" s="1" t="str">
        <f>IF(Materials!B6="","",Materials!B6)</f>
        <v>2,4-D Ester 4#</v>
      </c>
      <c r="D112" s="1"/>
      <c r="F112" s="20" t="str">
        <f>IF('General Variables'!E9=0,"",'General Variables'!E9)</f>
        <v>Pivot (State)</v>
      </c>
    </row>
    <row r="113" spans="2:6" x14ac:dyDescent="0.2">
      <c r="B113" s="1" t="str">
        <f>IF(Operations!A7="","",Operations!A7)</f>
        <v>Chop Silage</v>
      </c>
      <c r="C113" s="1" t="str">
        <f>IF(Materials!B7="","",Materials!B7)</f>
        <v xml:space="preserve">21-0-0-24S   </v>
      </c>
      <c r="D113" s="1"/>
      <c r="F113" s="20" t="str">
        <f>IF('General Variables'!E10=0,"",'General Variables'!E10)</f>
        <v>Pivot (Panhandle)</v>
      </c>
    </row>
    <row r="114" spans="2:6" x14ac:dyDescent="0.2">
      <c r="B114" s="1" t="str">
        <f>IF(Operations!A8="","",Operations!A8)</f>
        <v>Chop Stalks</v>
      </c>
      <c r="C114" s="1" t="str">
        <f>IF(Materials!B8="","",Materials!B8)</f>
        <v>28-0-0</v>
      </c>
      <c r="D114" s="1"/>
      <c r="F114" s="20" t="str">
        <f>IF('General Variables'!E11=0,"",'General Variables'!E11)</f>
        <v>Dryland (Southwest)</v>
      </c>
    </row>
    <row r="115" spans="2:6" x14ac:dyDescent="0.2">
      <c r="B115" s="1" t="str">
        <f>IF(Operations!A9="","",Operations!A9)</f>
        <v>Combine Dryland Corn</v>
      </c>
      <c r="C115" s="1" t="str">
        <f>IF(Materials!B9="","",Materials!B9)</f>
        <v>32-0-0</v>
      </c>
      <c r="D115" s="1"/>
      <c r="F115" s="235" t="str">
        <f>IF('General Variables'!E12=0,"",'General Variables'!E12)</f>
        <v>Fall Establishment</v>
      </c>
    </row>
    <row r="116" spans="2:6" x14ac:dyDescent="0.2">
      <c r="B116" s="1" t="str">
        <f>IF(Operations!A10="","",Operations!A10)</f>
        <v>Combine Dryland SB</v>
      </c>
      <c r="C116" s="1" t="str">
        <f>IF(Materials!B10="","",Materials!B10)</f>
        <v>32-0-0 (Applied by Pivot)</v>
      </c>
      <c r="D116" s="1"/>
      <c r="F116" s="235" t="str">
        <f>IF('General Variables'!E13=0,"",'General Variables'!E13)</f>
        <v>Pivot (Marginal Land)</v>
      </c>
    </row>
    <row r="117" spans="2:6" x14ac:dyDescent="0.2">
      <c r="B117" s="1" t="str">
        <f>IF(Operations!A11="","",Operations!A11)</f>
        <v>Combine Dryland SG</v>
      </c>
      <c r="C117" s="1" t="str">
        <f>IF(Materials!B11="","",Materials!B11)</f>
        <v>32-0-0 (Applied by R2)</v>
      </c>
      <c r="D117" s="1"/>
      <c r="F117" s="235" t="e">
        <f>IF('General Variables'!#REF!=0,"",'General Variables'!#REF!)</f>
        <v>#REF!</v>
      </c>
    </row>
    <row r="118" spans="2:6" x14ac:dyDescent="0.2">
      <c r="B118" s="1" t="str">
        <f>IF(Operations!A12="","",Operations!A12)</f>
        <v>Combine Irr Corn</v>
      </c>
      <c r="C118" s="1" t="str">
        <f>IF(Materials!B12="","",Materials!B12)</f>
        <v>32-0-0 (Additive)</v>
      </c>
      <c r="D118" s="1"/>
      <c r="F118" s="235" t="e">
        <f>IF('General Variables'!#REF!=0,"",'General Variables'!#REF!)</f>
        <v>#REF!</v>
      </c>
    </row>
    <row r="119" spans="2:6" x14ac:dyDescent="0.2">
      <c r="B119" s="1" t="str">
        <f>IF(Operations!A13="","",Operations!A13)</f>
        <v>Combine Irr Dry Beans</v>
      </c>
      <c r="C119" s="1" t="str">
        <f>IF(Materials!B13="","",Materials!B13)</f>
        <v>46-0-0</v>
      </c>
      <c r="D119" s="1"/>
      <c r="F119" s="235" t="e">
        <f>IF('General Variables'!#REF!=0,"",'General Variables'!#REF!)</f>
        <v>#REF!</v>
      </c>
    </row>
    <row r="120" spans="2:6" x14ac:dyDescent="0.2">
      <c r="B120" s="1" t="str">
        <f>IF(Operations!A14="","",Operations!A14)</f>
        <v>Combine Irr SB</v>
      </c>
      <c r="C120" s="1" t="str">
        <f>IF(Materials!B14="","",Materials!B14)</f>
        <v>82-0-0</v>
      </c>
      <c r="D120" s="1"/>
      <c r="F120" s="235" t="e">
        <f>IF('General Variables'!#REF!=0,"",'General Variables'!#REF!)</f>
        <v>#REF!</v>
      </c>
    </row>
    <row r="121" spans="2:6" x14ac:dyDescent="0.2">
      <c r="B121" s="1" t="str">
        <f>IF(Operations!A15="","",Operations!A15)</f>
        <v>Combine Irr SG</v>
      </c>
      <c r="C121" s="1" t="str">
        <f>IF(Materials!B15="","",Materials!B15)</f>
        <v>AAtrex 4L</v>
      </c>
      <c r="D121" s="1"/>
      <c r="F121" s="235" t="e">
        <f>IF('General Variables'!#REF!=0,"",'General Variables'!#REF!)</f>
        <v>#REF!</v>
      </c>
    </row>
    <row r="122" spans="2:6" x14ac:dyDescent="0.2">
      <c r="B122" s="1" t="str">
        <f>IF(Operations!A16="","",Operations!A16)</f>
        <v>Combine Irrigated Dry Beans with Draper Flex Platform</v>
      </c>
      <c r="C122" s="1" t="str">
        <f>IF(Materials!B16="","",Materials!B16)</f>
        <v>Aerial Spray</v>
      </c>
      <c r="D122" s="1"/>
      <c r="F122" s="20" t="e">
        <f>IF('General Variables'!#REF!=0,"",'General Variables'!#REF!)</f>
        <v>#REF!</v>
      </c>
    </row>
    <row r="123" spans="2:6" x14ac:dyDescent="0.2">
      <c r="B123" s="1" t="str">
        <f>IF(Operations!A17="","",Operations!A17)</f>
        <v>Combine Small Grain</v>
      </c>
      <c r="C123" s="1" t="str">
        <f>IF(Materials!B17="","",Materials!B17)</f>
        <v>Aim 2EC</v>
      </c>
      <c r="D123" s="1"/>
      <c r="F123" s="20" t="e">
        <f>IF('General Variables'!#REF!=0,"",'General Variables'!#REF!)</f>
        <v>#REF!</v>
      </c>
    </row>
    <row r="124" spans="2:6" x14ac:dyDescent="0.2">
      <c r="B124" s="1" t="str">
        <f>IF(Operations!A18="","",Operations!A18)</f>
        <v>Combine Sunflowers</v>
      </c>
      <c r="C124" s="1" t="str">
        <f>IF(Materials!B18="","",Materials!B18)</f>
        <v>Alfalfa RR w/ Inoculant</v>
      </c>
      <c r="D124" s="1"/>
      <c r="F124" s="20" t="e">
        <f>IF('General Variables'!#REF!=0,"",'General Variables'!#REF!)</f>
        <v>#REF!</v>
      </c>
    </row>
    <row r="125" spans="2:6" x14ac:dyDescent="0.2">
      <c r="B125" s="1" t="str">
        <f>IF(Operations!A19="","",Operations!A19)</f>
        <v>Corrugate</v>
      </c>
      <c r="C125" s="1" t="str">
        <f>IF(Materials!B19="","",Materials!B19)</f>
        <v>Alfalfa w/Inoculant</v>
      </c>
      <c r="D125" s="1"/>
      <c r="F125" s="20" t="e">
        <f>IF('General Variables'!#REF!=0,"",'General Variables'!#REF!)</f>
        <v>#REF!</v>
      </c>
    </row>
    <row r="126" spans="2:6" x14ac:dyDescent="0.2">
      <c r="B126" s="1" t="str">
        <f>IF(Operations!A20="","",Operations!A20)</f>
        <v>Disc</v>
      </c>
      <c r="C126" s="1" t="str">
        <f>IF(Materials!B20="","",Materials!B20)</f>
        <v>Ally Extra SGW/TOTSOL</v>
      </c>
      <c r="D126" s="1"/>
      <c r="F126" s="20" t="e">
        <f>IF('General Variables'!#REF!=0,"",'General Variables'!#REF!)</f>
        <v>#REF!</v>
      </c>
    </row>
    <row r="127" spans="2:6" x14ac:dyDescent="0.2">
      <c r="B127" s="1" t="str">
        <f>IF(Operations!A21="","",Operations!A21)</f>
        <v>Ditch Irrigation</v>
      </c>
      <c r="C127" s="1" t="str">
        <f>IF(Materials!B21="","",Materials!B21)</f>
        <v>Asana XL</v>
      </c>
      <c r="D127" s="1"/>
      <c r="F127" s="20" t="e">
        <f>IF('General Variables'!#REF!=0,"",'General Variables'!#REF!)</f>
        <v>#REF!</v>
      </c>
    </row>
    <row r="128" spans="2:6"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t="str">
        <f>IF(Operations!A103="","",Operations!A103)</f>
        <v/>
      </c>
      <c r="C207" s="1" t="str">
        <f>IF(Materials!B101="","",Materials!B101)</f>
        <v>Seeder-Packer</v>
      </c>
      <c r="D207" s="1"/>
    </row>
    <row r="208" spans="2:4" x14ac:dyDescent="0.2">
      <c r="C208" s="1" t="str">
        <f>IF(Materials!B102="","",Materials!B102)</f>
        <v>Select Max</v>
      </c>
    </row>
    <row r="209" spans="3:3" x14ac:dyDescent="0.2">
      <c r="C209" s="1" t="str">
        <f>IF(Materials!B103="","",Materials!B103)</f>
        <v>Sharpen</v>
      </c>
    </row>
    <row r="210" spans="3:3" x14ac:dyDescent="0.2">
      <c r="C210" s="1" t="str">
        <f>IF(Materials!B104="","",Materials!B104)</f>
        <v>Sorghum Safened/Insect</v>
      </c>
    </row>
    <row r="211" spans="3:3" x14ac:dyDescent="0.2">
      <c r="C211" s="1" t="str">
        <f>IF(Materials!B105="","",Materials!B105)</f>
        <v>Sorghum Sudan</v>
      </c>
    </row>
    <row r="212" spans="3:3" x14ac:dyDescent="0.2">
      <c r="C212" s="1" t="str">
        <f>IF(Materials!B106="","",Materials!B106)</f>
        <v>Spartan 4F</v>
      </c>
    </row>
    <row r="213" spans="3:3" x14ac:dyDescent="0.2">
      <c r="C213" s="1" t="str">
        <f>IF(Materials!B107="","",Materials!B107)</f>
        <v>Spirit</v>
      </c>
    </row>
    <row r="214" spans="3:3" x14ac:dyDescent="0.2">
      <c r="C214" s="1" t="str">
        <f>IF(Materials!B108="","",Materials!B108)</f>
        <v>Spray</v>
      </c>
    </row>
    <row r="215" spans="3:3" x14ac:dyDescent="0.2">
      <c r="C215" s="1" t="str">
        <f>IF(Materials!B109="","",Materials!B109)</f>
        <v>Status</v>
      </c>
    </row>
    <row r="216" spans="3:3" x14ac:dyDescent="0.2">
      <c r="C216" s="1" t="str">
        <f>IF(Materials!B110="","",Materials!B110)</f>
        <v>Stratego YLD</v>
      </c>
    </row>
    <row r="217" spans="3:3" x14ac:dyDescent="0.2">
      <c r="C217" s="1" t="str">
        <f>IF(Materials!B111="","",Materials!B111)</f>
        <v>Sugar Beets RR Poncho</v>
      </c>
    </row>
    <row r="218" spans="3:3" x14ac:dyDescent="0.2">
      <c r="C218" s="1" t="str">
        <f>IF(Materials!B112="","",Materials!B112)</f>
        <v>Sunflower</v>
      </c>
    </row>
    <row r="219" spans="3:3" x14ac:dyDescent="0.2">
      <c r="C219" s="1" t="str">
        <f>IF(Materials!B113="","",Materials!B113)</f>
        <v>Tilt</v>
      </c>
    </row>
    <row r="220" spans="3:3" x14ac:dyDescent="0.2">
      <c r="C220" s="1" t="str">
        <f>IF(Materials!B114="","",Materials!B114)</f>
        <v>Twine Lg Rd</v>
      </c>
    </row>
    <row r="221" spans="3:3" x14ac:dyDescent="0.2">
      <c r="C221" s="1" t="str">
        <f>IF(Materials!B115="","",Materials!B115)</f>
        <v>Twine Lg Sq</v>
      </c>
    </row>
    <row r="222" spans="3:3" x14ac:dyDescent="0.2">
      <c r="C222" s="1" t="str">
        <f>IF(Materials!B116="","",Materials!B116)</f>
        <v>Twine Sm Sq</v>
      </c>
    </row>
    <row r="223" spans="3:3" x14ac:dyDescent="0.2">
      <c r="C223" s="1" t="str">
        <f>IF(Materials!B117="","",Materials!B117)</f>
        <v>Uncomposted manure</v>
      </c>
    </row>
    <row r="224" spans="3:3" x14ac:dyDescent="0.2">
      <c r="C224" s="1" t="str">
        <f>IF(Materials!B118="","",Materials!B118)</f>
        <v>Valor XLT</v>
      </c>
    </row>
    <row r="225" spans="3:3" x14ac:dyDescent="0.2">
      <c r="C225" s="1" t="str">
        <f>IF(Materials!B119="","",Materials!B119)</f>
        <v>Velpar 75DF</v>
      </c>
    </row>
    <row r="226" spans="3:3" x14ac:dyDescent="0.2">
      <c r="C226" s="1" t="str">
        <f>IF(Materials!B120="","",Materials!B120)</f>
        <v>Vida</v>
      </c>
    </row>
    <row r="227" spans="3:3" x14ac:dyDescent="0.2">
      <c r="C227" s="1" t="str">
        <f>IF(Materials!B121="","",Materials!B121)</f>
        <v>Warrior II/Zeon</v>
      </c>
    </row>
    <row r="228" spans="3:3" x14ac:dyDescent="0.2">
      <c r="C228" s="1" t="str">
        <f>IF(Materials!B122="","",Materials!B122)</f>
        <v>Wheat</v>
      </c>
    </row>
    <row r="229" spans="3:3" x14ac:dyDescent="0.2">
      <c r="C229" s="1" t="str">
        <f>IF(Materials!B123="","",Materials!B123)</f>
        <v>Wheat (certified and treated)</v>
      </c>
    </row>
    <row r="230" spans="3:3" x14ac:dyDescent="0.2">
      <c r="C230" s="1" t="str">
        <f>IF(Materials!B124="","",Materials!B124)</f>
        <v/>
      </c>
    </row>
    <row r="231" spans="3:3" x14ac:dyDescent="0.2">
      <c r="C231" s="1" t="str">
        <f>IF(Materials!B125="","",Materials!B125)</f>
        <v/>
      </c>
    </row>
  </sheetData>
  <mergeCells count="43">
    <mergeCell ref="A5:L5"/>
    <mergeCell ref="B8:B9"/>
    <mergeCell ref="C8:C9"/>
    <mergeCell ref="E8:E9"/>
    <mergeCell ref="F8:F9"/>
    <mergeCell ref="G8:H8"/>
    <mergeCell ref="K8:K9"/>
    <mergeCell ref="L8:L9"/>
    <mergeCell ref="I8:J8"/>
    <mergeCell ref="F33:F34"/>
    <mergeCell ref="G33:G34"/>
    <mergeCell ref="H33:I33"/>
    <mergeCell ref="J33:J34"/>
    <mergeCell ref="L33:L34"/>
    <mergeCell ref="C57:E57"/>
    <mergeCell ref="C46:E46"/>
    <mergeCell ref="C35:E35"/>
    <mergeCell ref="C36:E36"/>
    <mergeCell ref="C37:E37"/>
    <mergeCell ref="C38:E38"/>
    <mergeCell ref="C39:E39"/>
    <mergeCell ref="C40:E40"/>
    <mergeCell ref="C41:E41"/>
    <mergeCell ref="C42:E42"/>
    <mergeCell ref="C43:E43"/>
    <mergeCell ref="C44:E44"/>
    <mergeCell ref="C45:E45"/>
    <mergeCell ref="C58:E58"/>
    <mergeCell ref="G69:H69"/>
    <mergeCell ref="C47:E47"/>
    <mergeCell ref="C48:E48"/>
    <mergeCell ref="C49:E49"/>
    <mergeCell ref="C50:E50"/>
    <mergeCell ref="C51:E51"/>
    <mergeCell ref="C52:E52"/>
    <mergeCell ref="C53:E53"/>
    <mergeCell ref="C59:E59"/>
    <mergeCell ref="F64:G64"/>
    <mergeCell ref="C68:E68"/>
    <mergeCell ref="G68:H68"/>
    <mergeCell ref="C54:E54"/>
    <mergeCell ref="C55:E55"/>
    <mergeCell ref="C56:E56"/>
  </mergeCells>
  <dataValidations count="7">
    <dataValidation type="list" allowBlank="1" showInputMessage="1" showErrorMessage="1" sqref="B60">
      <formula1>$C$108:$C$207</formula1>
    </dataValidation>
    <dataValidation type="list" allowBlank="1" showInputMessage="1" showErrorMessage="1" sqref="B30">
      <formula1>$B$108:$B$207</formula1>
    </dataValidation>
    <dataValidation type="list" allowBlank="1" showInputMessage="1" showErrorMessage="1" sqref="C68:E68">
      <formula1>$F$108:$F$155</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35:B59">
      <formula1>$C$108:$C$231</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2" t="s">
        <v>286</v>
      </c>
      <c r="C3" s="203" t="s">
        <v>429</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2" t="s">
        <v>286</v>
      </c>
      <c r="C4" s="203" t="s">
        <v>430</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2" t="s">
        <v>291</v>
      </c>
      <c r="C5" s="203" t="s">
        <v>428</v>
      </c>
      <c r="D5" s="36">
        <f>IF(B5=0,"",'General Variables'!$B$4*VLOOKUP(B5,Operations[],10,FALSE)/VLOOKUP(B5,Operations[],9,FALSE)*LEFT(C5,2))</f>
        <v>24.444444444444446</v>
      </c>
      <c r="E5" s="36"/>
      <c r="F5" s="36"/>
      <c r="G5" s="36"/>
      <c r="H5" s="36"/>
      <c r="I5" s="36"/>
      <c r="J5" s="36">
        <f>SUM(D5:I5)</f>
        <v>24.444444444444446</v>
      </c>
    </row>
    <row r="6" spans="2:10" x14ac:dyDescent="0.2">
      <c r="B6" s="202" t="s">
        <v>308</v>
      </c>
      <c r="C6" s="203" t="s">
        <v>427</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2" t="s">
        <v>307</v>
      </c>
      <c r="C7" s="203" t="s">
        <v>431</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384</v>
      </c>
      <c r="M1" s="2" t="s">
        <v>385</v>
      </c>
      <c r="N1" s="2" t="s">
        <v>386</v>
      </c>
      <c r="O1" s="2" t="s">
        <v>387</v>
      </c>
      <c r="P1" s="2" t="s">
        <v>388</v>
      </c>
      <c r="Q1" s="2" t="s">
        <v>389</v>
      </c>
      <c r="R1" s="2" t="s">
        <v>390</v>
      </c>
      <c r="S1" s="2" t="s">
        <v>391</v>
      </c>
      <c r="T1" s="2" t="s">
        <v>392</v>
      </c>
      <c r="U1" s="2" t="s">
        <v>393</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228</v>
      </c>
      <c r="C31" s="15" t="s">
        <v>228</v>
      </c>
      <c r="D31" s="16" t="s">
        <v>228</v>
      </c>
      <c r="E31" s="15" t="s">
        <v>228</v>
      </c>
      <c r="F31" s="16" t="s">
        <v>242</v>
      </c>
      <c r="G31" s="15" t="s">
        <v>242</v>
      </c>
      <c r="H31" s="16" t="s">
        <v>396</v>
      </c>
      <c r="I31" s="15" t="s">
        <v>396</v>
      </c>
      <c r="J31" s="16" t="s">
        <v>396</v>
      </c>
      <c r="K31" s="15" t="s">
        <v>204</v>
      </c>
    </row>
    <row r="32" spans="2:22" ht="83.25" customHeight="1" x14ac:dyDescent="0.25">
      <c r="B32" s="17" t="s">
        <v>229</v>
      </c>
      <c r="C32" s="18" t="s">
        <v>233</v>
      </c>
      <c r="D32" s="19" t="s">
        <v>236</v>
      </c>
      <c r="E32" s="18" t="s">
        <v>239</v>
      </c>
      <c r="F32" s="19" t="s">
        <v>243</v>
      </c>
      <c r="G32" s="18" t="s">
        <v>246</v>
      </c>
      <c r="H32" s="19" t="s">
        <v>250</v>
      </c>
      <c r="I32" s="18" t="s">
        <v>254</v>
      </c>
      <c r="J32" s="19" t="s">
        <v>258</v>
      </c>
      <c r="K32" s="18" t="s">
        <v>383</v>
      </c>
    </row>
    <row r="33" spans="1:10" ht="15.75" x14ac:dyDescent="0.25">
      <c r="A33" s="2" t="s">
        <v>394</v>
      </c>
      <c r="B33" s="13" t="s">
        <v>230</v>
      </c>
      <c r="C33" s="7" t="s">
        <v>234</v>
      </c>
      <c r="D33" s="8" t="s">
        <v>237</v>
      </c>
      <c r="E33" s="7" t="s">
        <v>240</v>
      </c>
      <c r="F33" s="8" t="s">
        <v>244</v>
      </c>
      <c r="G33" s="7" t="s">
        <v>247</v>
      </c>
      <c r="H33" s="8" t="s">
        <v>251</v>
      </c>
      <c r="I33" s="7" t="s">
        <v>255</v>
      </c>
      <c r="J33" s="8" t="s">
        <v>259</v>
      </c>
    </row>
    <row r="34" spans="1:10" ht="15.75" x14ac:dyDescent="0.25">
      <c r="A34" s="2" t="s">
        <v>395</v>
      </c>
      <c r="B34" s="13" t="s">
        <v>231</v>
      </c>
      <c r="C34" s="7" t="s">
        <v>235</v>
      </c>
      <c r="D34" s="8" t="s">
        <v>238</v>
      </c>
      <c r="E34" s="7" t="s">
        <v>241</v>
      </c>
      <c r="F34" s="8" t="s">
        <v>245</v>
      </c>
      <c r="G34" s="7" t="s">
        <v>248</v>
      </c>
      <c r="H34" s="8" t="s">
        <v>252</v>
      </c>
      <c r="I34" s="7" t="s">
        <v>256</v>
      </c>
      <c r="J34" s="8" t="s">
        <v>260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13-Alfalfa</vt:lpstr>
      <vt:lpstr>Formulas</vt:lpstr>
      <vt:lpstr>Depreciation Graph</vt:lpstr>
      <vt:lpstr>CropInsurance</vt:lpstr>
      <vt:lpstr>ImpDepLookup</vt:lpstr>
      <vt:lpstr>pd</vt:lpstr>
      <vt:lpstr>'13-Alfalfa'!Print_Area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2014-12-10T20:48:07Z</dcterms:modified>
</cp:coreProperties>
</file>