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omments1.xml" ContentType="application/vnd.openxmlformats-officedocument.spreadsheetml.comments+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comments2.xml" ContentType="application/vnd.openxmlformats-officedocument.spreadsheetml.comments+xml"/>
  <Override PartName="/xl/tables/table9.xml" ContentType="application/vnd.openxmlformats-officedocument.spreadsheetml.table+xml"/>
  <Override PartName="/xl/drawings/drawing3.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rwilson6\Documents\2-Budgets\Crops Traditional\2015\Website Ready\"/>
    </mc:Choice>
  </mc:AlternateContent>
  <bookViews>
    <workbookView xWindow="0" yWindow="0" windowWidth="19200" windowHeight="12165" activeTab="6"/>
  </bookViews>
  <sheets>
    <sheet name="Title" sheetId="139" r:id="rId1"/>
    <sheet name="General Variables" sheetId="49" state="hidden" r:id="rId2"/>
    <sheet name="Power Units" sheetId="48" state="hidden" r:id="rId3"/>
    <sheet name="Operations" sheetId="1" state="hidden" r:id="rId4"/>
    <sheet name="Price Check" sheetId="136" state="hidden" r:id="rId5"/>
    <sheet name="Materials" sheetId="2" state="hidden" r:id="rId6"/>
    <sheet name="13-Alfalfa" sheetId="66" r:id="rId7"/>
    <sheet name="Formulas" sheetId="57" state="hidden" r:id="rId8"/>
    <sheet name="Depreciation Graph" sheetId="52" state="hidden" r:id="rId9"/>
  </sheets>
  <externalReferences>
    <externalReference r:id="rId10"/>
  </externalReferences>
  <definedNames>
    <definedName name="_xlnm._FilterDatabase" localSheetId="3" hidden="1">Operations!$A$1:$B$102</definedName>
    <definedName name="CropInsurance" localSheetId="0">'[1]General Variables'!$A$18:$B$33</definedName>
    <definedName name="CropInsurance">'General Variables'!$A$18:$B$33</definedName>
    <definedName name="ImpDepLookup" localSheetId="0">[1]Operations!$AE$2:$AH$11</definedName>
    <definedName name="ImpDepLookup">Operations!$AE$2:$AH$11</definedName>
    <definedName name="pd" localSheetId="0">[1]!Table1[[Machine]:[ C3 ]]</definedName>
    <definedName name="pd">Table1[[Machine]:[ C3 ]]</definedName>
    <definedName name="_xlnm.Print_Area" localSheetId="6">'13-Alfalfa'!$A$2:$L$73</definedName>
    <definedName name="_xlnm.Print_Area" localSheetId="1">'General Variables'!$A$1:$I$63</definedName>
    <definedName name="_xlnm.Print_Area" localSheetId="5">Materials!$B$1:$H$111</definedName>
    <definedName name="_xlnm.Print_Area" localSheetId="3">Operations!$A$1:$J$2</definedName>
    <definedName name="_xlnm.Print_Area" localSheetId="4">'Price Check'!$A$2:$L$73</definedName>
    <definedName name="_xlnm.Print_Area" localSheetId="0">Title!$A$1:$O$58</definedName>
    <definedName name="PwrDepreciation" localSheetId="8">Table1[[Machine]:[ C3 ]]</definedName>
    <definedName name="PwrDepreciation" localSheetId="4">Table1[[Machine]:[ C3 ]]</definedName>
    <definedName name="PwrDepreciation" localSheetId="0">[1]!Table1[[Machine]:[ C3 ]]</definedName>
    <definedName name="PwrDepreciation">Table1[[Machine]:[ C3 ]]</definedName>
    <definedName name="PwrUnit">Operations!$AO$1:$AO$11</definedName>
    <definedName name="RETable" localSheetId="4">Table9[#All]</definedName>
    <definedName name="RETable" localSheetId="0">[1]!Table9[#All]</definedName>
    <definedName name="RETable">Table9[#All]</definedName>
    <definedName name="REValue">'General Variables'!$E$5:$F$13</definedName>
  </definedNames>
  <calcPr calcId="152511" calcMode="manual"/>
</workbook>
</file>

<file path=xl/calcChain.xml><?xml version="1.0" encoding="utf-8"?>
<calcChain xmlns="http://schemas.openxmlformats.org/spreadsheetml/2006/main">
  <c r="C109" i="66" l="1"/>
  <c r="C110" i="66"/>
  <c r="C111" i="66"/>
  <c r="C112" i="66"/>
  <c r="C113" i="66"/>
  <c r="C114" i="66"/>
  <c r="C115" i="66"/>
  <c r="C116" i="66"/>
  <c r="C117" i="66"/>
  <c r="C118" i="66"/>
  <c r="C119" i="66"/>
  <c r="C120" i="66"/>
  <c r="C121" i="66"/>
  <c r="C122" i="66"/>
  <c r="C123" i="66"/>
  <c r="C124" i="66"/>
  <c r="C125" i="66"/>
  <c r="C126" i="66"/>
  <c r="C127" i="66"/>
  <c r="C128" i="66"/>
  <c r="C129" i="66"/>
  <c r="C130" i="66"/>
  <c r="C131" i="66"/>
  <c r="C132" i="66"/>
  <c r="C133" i="66"/>
  <c r="C134" i="66"/>
  <c r="C135" i="66"/>
  <c r="C136" i="66"/>
  <c r="C137" i="66"/>
  <c r="C138" i="66"/>
  <c r="C139" i="66"/>
  <c r="C140" i="66"/>
  <c r="C141" i="66"/>
  <c r="C142" i="66"/>
  <c r="C143" i="66"/>
  <c r="C144" i="66"/>
  <c r="C145" i="66"/>
  <c r="C146" i="66"/>
  <c r="C147" i="66"/>
  <c r="C148" i="66"/>
  <c r="C149" i="66"/>
  <c r="C150" i="66"/>
  <c r="C151" i="66"/>
  <c r="C152" i="66"/>
  <c r="C153" i="66"/>
  <c r="C154" i="66"/>
  <c r="C155" i="66"/>
  <c r="C156" i="66"/>
  <c r="C157" i="66"/>
  <c r="C158" i="66"/>
  <c r="C159" i="66"/>
  <c r="C160" i="66"/>
  <c r="C161" i="66"/>
  <c r="C162" i="66"/>
  <c r="C163" i="66"/>
  <c r="C164" i="66"/>
  <c r="C165" i="66"/>
  <c r="C166" i="66"/>
  <c r="C167" i="66"/>
  <c r="C168" i="66"/>
  <c r="C169" i="66"/>
  <c r="C170" i="66"/>
  <c r="C171" i="66"/>
  <c r="C172" i="66"/>
  <c r="C173" i="66"/>
  <c r="C174" i="66"/>
  <c r="C175" i="66"/>
  <c r="C176" i="66"/>
  <c r="C177" i="66"/>
  <c r="C178" i="66"/>
  <c r="C179" i="66"/>
  <c r="C180" i="66"/>
  <c r="C181" i="66"/>
  <c r="C182" i="66"/>
  <c r="C183" i="66"/>
  <c r="C184" i="66"/>
  <c r="C185" i="66"/>
  <c r="C186" i="66"/>
  <c r="C187" i="66"/>
  <c r="C188" i="66"/>
  <c r="C189" i="66"/>
  <c r="C190" i="66"/>
  <c r="C191" i="66"/>
  <c r="C192" i="66"/>
  <c r="C193" i="66"/>
  <c r="C194" i="66"/>
  <c r="C195" i="66"/>
  <c r="C196" i="66"/>
  <c r="C197" i="66"/>
  <c r="C198" i="66"/>
  <c r="C199" i="66"/>
  <c r="C200" i="66"/>
  <c r="C201" i="66"/>
  <c r="C202" i="66"/>
  <c r="C203" i="66"/>
  <c r="C204" i="66"/>
  <c r="C205" i="66"/>
  <c r="C206" i="66"/>
  <c r="C207" i="66"/>
  <c r="C208" i="66"/>
  <c r="C209" i="66"/>
  <c r="C210" i="66"/>
  <c r="C211" i="66"/>
  <c r="C212" i="66"/>
  <c r="C213" i="66"/>
  <c r="C214" i="66"/>
  <c r="C215" i="66"/>
  <c r="C216" i="66"/>
  <c r="C217" i="66"/>
  <c r="C218" i="66"/>
  <c r="C219" i="66"/>
  <c r="C220" i="66"/>
  <c r="C221" i="66"/>
  <c r="C222" i="66"/>
  <c r="C223" i="66"/>
  <c r="C224" i="66"/>
  <c r="C225" i="66"/>
  <c r="C226" i="66"/>
  <c r="C227" i="66"/>
  <c r="C228" i="66"/>
  <c r="C229" i="66"/>
  <c r="C230" i="66"/>
  <c r="C231" i="66"/>
  <c r="B180" i="66"/>
  <c r="B181" i="66"/>
  <c r="B182" i="66"/>
  <c r="B183" i="66"/>
  <c r="B184" i="66"/>
  <c r="H42" i="2"/>
  <c r="H41" i="2"/>
  <c r="F13" i="49" l="1"/>
  <c r="H42" i="49" l="1"/>
  <c r="H43" i="49"/>
  <c r="H44" i="49"/>
  <c r="H45" i="49"/>
  <c r="H46" i="49"/>
  <c r="H47" i="49"/>
  <c r="H48" i="49"/>
  <c r="H49" i="49"/>
  <c r="H50" i="49"/>
  <c r="H51" i="49"/>
  <c r="H52" i="49"/>
  <c r="H53" i="49"/>
  <c r="H54" i="49"/>
  <c r="H55" i="49"/>
  <c r="H56" i="49"/>
  <c r="H57" i="49"/>
  <c r="H58" i="49"/>
  <c r="H59" i="49"/>
  <c r="H60" i="49"/>
  <c r="H61" i="49"/>
  <c r="H62" i="49"/>
  <c r="H41" i="49"/>
  <c r="I41" i="49"/>
  <c r="D42" i="49"/>
  <c r="E42" i="49"/>
  <c r="D43" i="49"/>
  <c r="E43" i="49"/>
  <c r="D44" i="49"/>
  <c r="E44" i="49"/>
  <c r="D45" i="49"/>
  <c r="E45" i="49"/>
  <c r="D46" i="49"/>
  <c r="E46" i="49"/>
  <c r="D47" i="49"/>
  <c r="E47" i="49"/>
  <c r="D48" i="49"/>
  <c r="E48" i="49"/>
  <c r="D49" i="49"/>
  <c r="E49" i="49"/>
  <c r="D50" i="49"/>
  <c r="E50" i="49"/>
  <c r="D51" i="49"/>
  <c r="E51" i="49"/>
  <c r="D52" i="49"/>
  <c r="E52" i="49"/>
  <c r="D53" i="49"/>
  <c r="E53" i="49"/>
  <c r="D54" i="49"/>
  <c r="E54" i="49"/>
  <c r="D55" i="49"/>
  <c r="E55" i="49"/>
  <c r="D56" i="49"/>
  <c r="E56" i="49"/>
  <c r="D57" i="49"/>
  <c r="E57" i="49"/>
  <c r="D58" i="49"/>
  <c r="E58" i="49"/>
  <c r="D59" i="49"/>
  <c r="E59" i="49"/>
  <c r="D60" i="49"/>
  <c r="E60" i="49"/>
  <c r="D61" i="49"/>
  <c r="E61" i="49"/>
  <c r="D62" i="49"/>
  <c r="E62" i="49"/>
  <c r="D41" i="49"/>
  <c r="E41" i="49"/>
  <c r="A42" i="49"/>
  <c r="A43" i="49"/>
  <c r="A44" i="49"/>
  <c r="A45" i="49"/>
  <c r="A46" i="49"/>
  <c r="A47" i="49"/>
  <c r="A48" i="49"/>
  <c r="A49" i="49"/>
  <c r="A50" i="49"/>
  <c r="A51" i="49"/>
  <c r="A52" i="49"/>
  <c r="A53" i="49"/>
  <c r="A54" i="49"/>
  <c r="A55" i="49"/>
  <c r="A56" i="49"/>
  <c r="A57" i="49"/>
  <c r="A58" i="49"/>
  <c r="A59" i="49"/>
  <c r="A60" i="49"/>
  <c r="A61" i="49"/>
  <c r="A62" i="49"/>
  <c r="A63" i="49"/>
  <c r="A41" i="49"/>
  <c r="J38" i="1" l="1"/>
  <c r="E10" i="136"/>
  <c r="H5" i="1"/>
  <c r="I5" i="1"/>
  <c r="F10" i="136"/>
  <c r="C226" i="136"/>
  <c r="C225" i="136"/>
  <c r="C224" i="136"/>
  <c r="C223" i="136"/>
  <c r="C222" i="136"/>
  <c r="C221" i="136"/>
  <c r="C220" i="136"/>
  <c r="C219" i="136"/>
  <c r="C218" i="136"/>
  <c r="C217" i="136"/>
  <c r="C216" i="136"/>
  <c r="C215" i="136"/>
  <c r="C214" i="136"/>
  <c r="C213" i="136"/>
  <c r="C212" i="136"/>
  <c r="C211" i="136"/>
  <c r="C210" i="136"/>
  <c r="C209" i="136"/>
  <c r="C208" i="136"/>
  <c r="C207" i="136"/>
  <c r="B207" i="136"/>
  <c r="C206" i="136"/>
  <c r="B206" i="136"/>
  <c r="C205" i="136"/>
  <c r="B205" i="136"/>
  <c r="C204" i="136"/>
  <c r="B204" i="136"/>
  <c r="C203" i="136"/>
  <c r="B203" i="136"/>
  <c r="C202" i="136"/>
  <c r="B202" i="136"/>
  <c r="C201" i="136"/>
  <c r="B201" i="136"/>
  <c r="C200" i="136"/>
  <c r="B200" i="136"/>
  <c r="C199" i="136"/>
  <c r="B199" i="136"/>
  <c r="C198" i="136"/>
  <c r="B198" i="136"/>
  <c r="C197" i="136"/>
  <c r="B197" i="136"/>
  <c r="C196" i="136"/>
  <c r="B196" i="136"/>
  <c r="C195" i="136"/>
  <c r="B195" i="136"/>
  <c r="C194" i="136"/>
  <c r="B194" i="136"/>
  <c r="C193" i="136"/>
  <c r="B193" i="136"/>
  <c r="C192" i="136"/>
  <c r="B192" i="136"/>
  <c r="C191" i="136"/>
  <c r="B191" i="136"/>
  <c r="C190" i="136"/>
  <c r="B190" i="136"/>
  <c r="C189" i="136"/>
  <c r="B189" i="136"/>
  <c r="C188" i="136"/>
  <c r="B188" i="136"/>
  <c r="C187" i="136"/>
  <c r="B187" i="136"/>
  <c r="C186" i="136"/>
  <c r="B186" i="136"/>
  <c r="C185" i="136"/>
  <c r="B185" i="136"/>
  <c r="C184" i="136"/>
  <c r="B184" i="136"/>
  <c r="C183" i="136"/>
  <c r="B183" i="136"/>
  <c r="C182" i="136"/>
  <c r="B182" i="136"/>
  <c r="C181" i="136"/>
  <c r="B181" i="136"/>
  <c r="C180" i="136"/>
  <c r="B180" i="136"/>
  <c r="C179" i="136"/>
  <c r="B179" i="136"/>
  <c r="C178" i="136"/>
  <c r="B178" i="136"/>
  <c r="C177" i="136"/>
  <c r="B177" i="136"/>
  <c r="C176" i="136"/>
  <c r="B176" i="136"/>
  <c r="C175" i="136"/>
  <c r="B175" i="136"/>
  <c r="C174" i="136"/>
  <c r="B174" i="136"/>
  <c r="C173" i="136"/>
  <c r="B173" i="136"/>
  <c r="C172" i="136"/>
  <c r="B172" i="136"/>
  <c r="C171" i="136"/>
  <c r="B171" i="136"/>
  <c r="C170" i="136"/>
  <c r="B170" i="136"/>
  <c r="C169" i="136"/>
  <c r="B169" i="136"/>
  <c r="C168" i="136"/>
  <c r="B168" i="136"/>
  <c r="C167" i="136"/>
  <c r="B167" i="136"/>
  <c r="C166" i="136"/>
  <c r="B166" i="136"/>
  <c r="C165" i="136"/>
  <c r="B165" i="136"/>
  <c r="C164" i="136"/>
  <c r="B164" i="136"/>
  <c r="C163" i="136"/>
  <c r="B163" i="136"/>
  <c r="C162" i="136"/>
  <c r="B162" i="136"/>
  <c r="C161" i="136"/>
  <c r="B161" i="136"/>
  <c r="C160" i="136"/>
  <c r="B160" i="136"/>
  <c r="C159" i="136"/>
  <c r="B159" i="136"/>
  <c r="C158" i="136"/>
  <c r="B158" i="136"/>
  <c r="C157" i="136"/>
  <c r="B157" i="136"/>
  <c r="C156" i="136"/>
  <c r="B156" i="136"/>
  <c r="C155" i="136"/>
  <c r="B155" i="136"/>
  <c r="C154" i="136"/>
  <c r="B154" i="136"/>
  <c r="C153" i="136"/>
  <c r="B153" i="136"/>
  <c r="C152" i="136"/>
  <c r="B152" i="136"/>
  <c r="C151" i="136"/>
  <c r="B151" i="136"/>
  <c r="C150" i="136"/>
  <c r="B150" i="136"/>
  <c r="C149" i="136"/>
  <c r="B149" i="136"/>
  <c r="C148" i="136"/>
  <c r="B148" i="136"/>
  <c r="C147" i="136"/>
  <c r="B147" i="136"/>
  <c r="C146" i="136"/>
  <c r="B146" i="136"/>
  <c r="C145" i="136"/>
  <c r="B145" i="136"/>
  <c r="C144" i="136"/>
  <c r="B144" i="136"/>
  <c r="C143" i="136"/>
  <c r="B143" i="136"/>
  <c r="C142" i="136"/>
  <c r="B142" i="136"/>
  <c r="C141" i="136"/>
  <c r="B141" i="136"/>
  <c r="C140" i="136"/>
  <c r="B140" i="136"/>
  <c r="C139" i="136"/>
  <c r="B139" i="136"/>
  <c r="C138" i="136"/>
  <c r="B138" i="136"/>
  <c r="C137" i="136"/>
  <c r="B137" i="136"/>
  <c r="C136" i="136"/>
  <c r="B136" i="136"/>
  <c r="C135" i="136"/>
  <c r="B135" i="136"/>
  <c r="C134" i="136"/>
  <c r="B134" i="136"/>
  <c r="F133" i="136"/>
  <c r="C133" i="136"/>
  <c r="B133" i="136"/>
  <c r="F132" i="136"/>
  <c r="C132" i="136"/>
  <c r="B132" i="136"/>
  <c r="F131" i="136"/>
  <c r="C131" i="136"/>
  <c r="B131" i="136"/>
  <c r="F130" i="136"/>
  <c r="C130" i="136"/>
  <c r="B130" i="136"/>
  <c r="F129" i="136"/>
  <c r="C129" i="136"/>
  <c r="B129" i="136"/>
  <c r="F128" i="136"/>
  <c r="C128" i="136"/>
  <c r="B128" i="136"/>
  <c r="F127" i="136"/>
  <c r="C127" i="136"/>
  <c r="B127" i="136"/>
  <c r="F126" i="136"/>
  <c r="C126" i="136"/>
  <c r="B126" i="136"/>
  <c r="F125" i="136"/>
  <c r="C125" i="136"/>
  <c r="B125" i="136"/>
  <c r="F124" i="136"/>
  <c r="C124" i="136"/>
  <c r="B124" i="136"/>
  <c r="H123" i="136"/>
  <c r="F123" i="136"/>
  <c r="C123" i="136"/>
  <c r="B123" i="136"/>
  <c r="H122" i="136"/>
  <c r="F122" i="136"/>
  <c r="C122" i="136"/>
  <c r="B122" i="136"/>
  <c r="H121" i="136"/>
  <c r="F121" i="136"/>
  <c r="C121" i="136"/>
  <c r="B121" i="136"/>
  <c r="H120" i="136"/>
  <c r="F120" i="136"/>
  <c r="C120" i="136"/>
  <c r="B120" i="136"/>
  <c r="H119" i="136"/>
  <c r="F119" i="136"/>
  <c r="C119" i="136"/>
  <c r="B119" i="136"/>
  <c r="H118" i="136"/>
  <c r="F118" i="136"/>
  <c r="C118" i="136"/>
  <c r="B118" i="136"/>
  <c r="H117" i="136"/>
  <c r="F117" i="136"/>
  <c r="C117" i="136"/>
  <c r="B117" i="136"/>
  <c r="H116" i="136"/>
  <c r="F116" i="136"/>
  <c r="C116" i="136"/>
  <c r="B116" i="136"/>
  <c r="H115" i="136"/>
  <c r="F115" i="136"/>
  <c r="C115" i="136"/>
  <c r="B115" i="136"/>
  <c r="H114" i="136"/>
  <c r="F114" i="136"/>
  <c r="C114" i="136"/>
  <c r="B114" i="136"/>
  <c r="H113" i="136"/>
  <c r="F113" i="136"/>
  <c r="C113" i="136"/>
  <c r="B113" i="136"/>
  <c r="H112" i="136"/>
  <c r="F112" i="136"/>
  <c r="C112" i="136"/>
  <c r="B112" i="136"/>
  <c r="H111" i="136"/>
  <c r="F111" i="136"/>
  <c r="C111" i="136"/>
  <c r="B111" i="136"/>
  <c r="H110" i="136"/>
  <c r="F110" i="136"/>
  <c r="C110" i="136"/>
  <c r="B110" i="136"/>
  <c r="H109" i="136"/>
  <c r="F109" i="136"/>
  <c r="C109" i="136"/>
  <c r="B109" i="136"/>
  <c r="H108" i="136"/>
  <c r="F108" i="136"/>
  <c r="C108" i="136"/>
  <c r="B108" i="136"/>
  <c r="K73" i="136"/>
  <c r="B73" i="136"/>
  <c r="K72" i="136"/>
  <c r="B72" i="136"/>
  <c r="I69" i="136"/>
  <c r="F69" i="136"/>
  <c r="I68" i="136"/>
  <c r="F68" i="136"/>
  <c r="K67" i="136"/>
  <c r="I64" i="136"/>
  <c r="H64" i="136"/>
  <c r="K59" i="136"/>
  <c r="J59" i="136"/>
  <c r="I59" i="136"/>
  <c r="H59" i="136"/>
  <c r="G59" i="136"/>
  <c r="C59" i="136"/>
  <c r="K58" i="136"/>
  <c r="J58" i="136"/>
  <c r="I58" i="136"/>
  <c r="C58" i="136"/>
  <c r="K57" i="136"/>
  <c r="J57" i="136"/>
  <c r="I57" i="136"/>
  <c r="C57" i="136"/>
  <c r="K56" i="136"/>
  <c r="J56" i="136"/>
  <c r="I56" i="136"/>
  <c r="C56" i="136"/>
  <c r="K55" i="136"/>
  <c r="J55" i="136"/>
  <c r="I55" i="136"/>
  <c r="C55" i="136"/>
  <c r="K54" i="136"/>
  <c r="J54" i="136"/>
  <c r="I54" i="136"/>
  <c r="C54" i="136"/>
  <c r="K53" i="136"/>
  <c r="J53" i="136"/>
  <c r="I53" i="136"/>
  <c r="C53" i="136"/>
  <c r="K52" i="136"/>
  <c r="J52" i="136"/>
  <c r="I52" i="136"/>
  <c r="C52" i="136"/>
  <c r="K51" i="136"/>
  <c r="J51" i="136"/>
  <c r="I51" i="136"/>
  <c r="C51" i="136"/>
  <c r="K50" i="136"/>
  <c r="J50" i="136"/>
  <c r="I50" i="136"/>
  <c r="C50" i="136"/>
  <c r="K49" i="136"/>
  <c r="J49" i="136"/>
  <c r="I49" i="136"/>
  <c r="C49" i="136"/>
  <c r="K48" i="136"/>
  <c r="J48" i="136"/>
  <c r="I48" i="136"/>
  <c r="C48" i="136"/>
  <c r="K47" i="136"/>
  <c r="J47" i="136"/>
  <c r="I47" i="136"/>
  <c r="C47" i="136"/>
  <c r="K46" i="136"/>
  <c r="J46" i="136"/>
  <c r="I46" i="136"/>
  <c r="C46" i="136"/>
  <c r="K45" i="136"/>
  <c r="J45" i="136"/>
  <c r="I45" i="136"/>
  <c r="C45" i="136"/>
  <c r="K44" i="136"/>
  <c r="J44" i="136"/>
  <c r="I44" i="136"/>
  <c r="C44" i="136"/>
  <c r="K43" i="136"/>
  <c r="J43" i="136"/>
  <c r="I43" i="136"/>
  <c r="C43" i="136"/>
  <c r="K42" i="136"/>
  <c r="J42" i="136"/>
  <c r="I42" i="136"/>
  <c r="C42" i="136"/>
  <c r="K41" i="136"/>
  <c r="J41" i="136"/>
  <c r="I41" i="136"/>
  <c r="C41" i="136"/>
  <c r="K40" i="136"/>
  <c r="J40" i="136"/>
  <c r="I40" i="136"/>
  <c r="C40" i="136"/>
  <c r="K39" i="136"/>
  <c r="J39" i="136"/>
  <c r="I39" i="136"/>
  <c r="C39" i="136"/>
  <c r="K38" i="136"/>
  <c r="J38" i="136"/>
  <c r="I38" i="136"/>
  <c r="C38" i="136"/>
  <c r="K37" i="136"/>
  <c r="J37" i="136"/>
  <c r="I37" i="136"/>
  <c r="C37" i="136"/>
  <c r="K36" i="136"/>
  <c r="J36" i="136"/>
  <c r="I36" i="136"/>
  <c r="C36" i="136"/>
  <c r="K35" i="136"/>
  <c r="J35" i="136"/>
  <c r="I35" i="136"/>
  <c r="C35" i="136"/>
  <c r="J29" i="136"/>
  <c r="I29" i="136"/>
  <c r="H29" i="136"/>
  <c r="G29" i="136"/>
  <c r="F29" i="136"/>
  <c r="E29" i="136"/>
  <c r="J28" i="136"/>
  <c r="I28" i="136"/>
  <c r="H28" i="136"/>
  <c r="G28" i="136"/>
  <c r="F28" i="136"/>
  <c r="E28" i="136"/>
  <c r="J27" i="136"/>
  <c r="I27" i="136"/>
  <c r="H27" i="136"/>
  <c r="G27" i="136"/>
  <c r="F27" i="136"/>
  <c r="E27" i="136"/>
  <c r="J26" i="136"/>
  <c r="I26" i="136"/>
  <c r="H26" i="136"/>
  <c r="G26" i="136"/>
  <c r="F26" i="136"/>
  <c r="E26" i="136"/>
  <c r="J25" i="136"/>
  <c r="I25" i="136"/>
  <c r="H25" i="136"/>
  <c r="G25" i="136"/>
  <c r="F25" i="136"/>
  <c r="E25" i="136"/>
  <c r="J24" i="136"/>
  <c r="I24" i="136"/>
  <c r="H24" i="136"/>
  <c r="G24" i="136"/>
  <c r="F24" i="136"/>
  <c r="E24" i="136"/>
  <c r="J23" i="136"/>
  <c r="I23" i="136"/>
  <c r="H23" i="136"/>
  <c r="G23" i="136"/>
  <c r="F23" i="136"/>
  <c r="E23" i="136"/>
  <c r="J22" i="136"/>
  <c r="I22" i="136"/>
  <c r="H22" i="136"/>
  <c r="G22" i="136"/>
  <c r="F22" i="136"/>
  <c r="E22" i="136"/>
  <c r="J21" i="136"/>
  <c r="I21" i="136"/>
  <c r="H21" i="136"/>
  <c r="G21" i="136"/>
  <c r="F21" i="136"/>
  <c r="E21" i="136"/>
  <c r="J20" i="136"/>
  <c r="I20" i="136"/>
  <c r="H20" i="136"/>
  <c r="G20" i="136"/>
  <c r="F20" i="136"/>
  <c r="E20" i="136"/>
  <c r="J19" i="136"/>
  <c r="I19" i="136"/>
  <c r="H19" i="136"/>
  <c r="G19" i="136"/>
  <c r="F19" i="136"/>
  <c r="E19" i="136"/>
  <c r="J18" i="136"/>
  <c r="I18" i="136"/>
  <c r="H18" i="136"/>
  <c r="G18" i="136"/>
  <c r="F18" i="136"/>
  <c r="E18" i="136"/>
  <c r="J17" i="136"/>
  <c r="I17" i="136"/>
  <c r="H17" i="136"/>
  <c r="G17" i="136"/>
  <c r="F17" i="136"/>
  <c r="E17" i="136"/>
  <c r="J16" i="136"/>
  <c r="I16" i="136"/>
  <c r="H16" i="136"/>
  <c r="G16" i="136"/>
  <c r="F16" i="136"/>
  <c r="E16" i="136"/>
  <c r="J15" i="136"/>
  <c r="I15" i="136"/>
  <c r="H15" i="136"/>
  <c r="G15" i="136"/>
  <c r="F15" i="136"/>
  <c r="E15" i="136"/>
  <c r="J14" i="136"/>
  <c r="I14" i="136"/>
  <c r="H14" i="136"/>
  <c r="G14" i="136"/>
  <c r="F14" i="136"/>
  <c r="E14" i="136"/>
  <c r="J13" i="136"/>
  <c r="I13" i="136"/>
  <c r="H13" i="136"/>
  <c r="G13" i="136"/>
  <c r="F13" i="136"/>
  <c r="E13" i="136"/>
  <c r="J12" i="136"/>
  <c r="I12" i="136"/>
  <c r="H12" i="136"/>
  <c r="G12" i="136"/>
  <c r="F12" i="136"/>
  <c r="E12" i="136"/>
  <c r="F11" i="136"/>
  <c r="E11" i="136"/>
  <c r="F8" i="136"/>
  <c r="E8" i="136"/>
  <c r="A6" i="136"/>
  <c r="A5" i="136"/>
  <c r="O4" i="136"/>
  <c r="I3" i="136"/>
  <c r="K2" i="136"/>
  <c r="K68" i="136" l="1"/>
  <c r="K69" i="136"/>
  <c r="K61" i="136"/>
  <c r="E31" i="136"/>
  <c r="K19" i="136"/>
  <c r="K28" i="136"/>
  <c r="K13" i="136"/>
  <c r="K21" i="136"/>
  <c r="K29" i="136"/>
  <c r="K18" i="136"/>
  <c r="K17" i="136"/>
  <c r="K12" i="136"/>
  <c r="K14" i="136"/>
  <c r="F31" i="136"/>
  <c r="K20" i="136"/>
  <c r="K22" i="136"/>
  <c r="K27" i="136"/>
  <c r="K26" i="136"/>
  <c r="K16" i="136"/>
  <c r="K25" i="136"/>
  <c r="K15" i="136"/>
  <c r="K24" i="136"/>
  <c r="K23" i="136"/>
  <c r="G67" i="2" l="1"/>
  <c r="G116" i="2"/>
  <c r="G114" i="2"/>
  <c r="G115" i="2"/>
  <c r="D116" i="2"/>
  <c r="G26" i="2"/>
  <c r="J42" i="1" l="1"/>
  <c r="H42" i="1"/>
  <c r="F115" i="66" l="1"/>
  <c r="F116" i="66"/>
  <c r="F117" i="66"/>
  <c r="F118" i="66"/>
  <c r="F119" i="66"/>
  <c r="F120" i="66"/>
  <c r="F121" i="66"/>
  <c r="J40" i="1"/>
  <c r="H40" i="1"/>
  <c r="H110" i="2" l="1"/>
  <c r="H120" i="2"/>
  <c r="H79" i="2"/>
  <c r="H77" i="2"/>
  <c r="H103" i="2"/>
  <c r="H38" i="2"/>
  <c r="H91" i="2"/>
  <c r="H89" i="2"/>
  <c r="H122" i="2"/>
  <c r="O35" i="1" l="1"/>
  <c r="E14" i="66" l="1"/>
  <c r="F14" i="66"/>
  <c r="G14" i="66"/>
  <c r="H14" i="66"/>
  <c r="I14" i="66"/>
  <c r="J14" i="66"/>
  <c r="K14" i="66"/>
  <c r="E15" i="66"/>
  <c r="F15" i="66"/>
  <c r="G15" i="66"/>
  <c r="H15" i="66"/>
  <c r="I15" i="66"/>
  <c r="J15" i="66"/>
  <c r="K15" i="66"/>
  <c r="O63" i="1" l="1"/>
  <c r="A5" i="66" l="1"/>
  <c r="I54" i="66" l="1"/>
  <c r="J54" i="66"/>
  <c r="K54" i="66"/>
  <c r="I55" i="66"/>
  <c r="J55" i="66"/>
  <c r="K55" i="66"/>
  <c r="I56" i="66"/>
  <c r="J56" i="66"/>
  <c r="K56" i="66"/>
  <c r="I57" i="66"/>
  <c r="J57" i="66"/>
  <c r="K57" i="66"/>
  <c r="I58" i="66"/>
  <c r="J58" i="66"/>
  <c r="K58" i="66"/>
  <c r="C54" i="66"/>
  <c r="C55" i="66"/>
  <c r="C56" i="66"/>
  <c r="C57" i="66"/>
  <c r="C58" i="66"/>
  <c r="F8" i="66" l="1"/>
  <c r="B109" i="66"/>
  <c r="B110" i="66"/>
  <c r="B111" i="66"/>
  <c r="B112" i="66"/>
  <c r="B113" i="66"/>
  <c r="B114" i="66"/>
  <c r="B115" i="66"/>
  <c r="B116" i="66"/>
  <c r="B117" i="66"/>
  <c r="B118" i="66"/>
  <c r="B119" i="66"/>
  <c r="B120" i="66"/>
  <c r="B121" i="66"/>
  <c r="B122" i="66"/>
  <c r="B123" i="66"/>
  <c r="B124" i="66"/>
  <c r="B125" i="66"/>
  <c r="B126" i="66"/>
  <c r="B127" i="66"/>
  <c r="B128" i="66"/>
  <c r="B129" i="66"/>
  <c r="B130" i="66"/>
  <c r="B131" i="66"/>
  <c r="B132" i="66"/>
  <c r="B133" i="66"/>
  <c r="B134" i="66"/>
  <c r="B135" i="66"/>
  <c r="B136" i="66"/>
  <c r="B137" i="66"/>
  <c r="B138" i="66"/>
  <c r="B139" i="66"/>
  <c r="B140" i="66"/>
  <c r="B141" i="66"/>
  <c r="B142" i="66"/>
  <c r="B143" i="66"/>
  <c r="B144" i="66"/>
  <c r="B145" i="66"/>
  <c r="B146" i="66"/>
  <c r="B147" i="66"/>
  <c r="B148" i="66"/>
  <c r="B149" i="66"/>
  <c r="B150" i="66"/>
  <c r="B151" i="66"/>
  <c r="B152" i="66"/>
  <c r="B153" i="66"/>
  <c r="B154" i="66"/>
  <c r="B155" i="66"/>
  <c r="B156" i="66"/>
  <c r="B157" i="66"/>
  <c r="B158" i="66"/>
  <c r="B159" i="66"/>
  <c r="B160" i="66"/>
  <c r="B161" i="66"/>
  <c r="B162" i="66"/>
  <c r="B163" i="66"/>
  <c r="B164" i="66"/>
  <c r="B165" i="66"/>
  <c r="B166" i="66"/>
  <c r="B167" i="66"/>
  <c r="B168" i="66"/>
  <c r="B169" i="66"/>
  <c r="B170" i="66"/>
  <c r="B171" i="66"/>
  <c r="B172" i="66"/>
  <c r="B173" i="66"/>
  <c r="B174" i="66"/>
  <c r="B175" i="66"/>
  <c r="B176" i="66"/>
  <c r="B177" i="66"/>
  <c r="B178" i="66"/>
  <c r="B179" i="66"/>
  <c r="B185" i="66"/>
  <c r="B186" i="66"/>
  <c r="B187" i="66"/>
  <c r="B188" i="66"/>
  <c r="B189" i="66"/>
  <c r="B190" i="66"/>
  <c r="B191" i="66"/>
  <c r="B192" i="66"/>
  <c r="B193" i="66"/>
  <c r="B194" i="66"/>
  <c r="B195" i="66"/>
  <c r="B196" i="66"/>
  <c r="B197" i="66"/>
  <c r="B198" i="66"/>
  <c r="B199" i="66"/>
  <c r="B200" i="66"/>
  <c r="B201" i="66"/>
  <c r="B202" i="66"/>
  <c r="B203" i="66"/>
  <c r="B204" i="66"/>
  <c r="B205" i="66"/>
  <c r="B206" i="66"/>
  <c r="N98" i="1"/>
  <c r="N99" i="1"/>
  <c r="O98" i="1"/>
  <c r="O99" i="1"/>
  <c r="S98" i="1"/>
  <c r="S99" i="1"/>
  <c r="T98" i="1"/>
  <c r="T99" i="1"/>
  <c r="H36" i="66"/>
  <c r="C17" i="66"/>
  <c r="Q99" i="1" l="1"/>
  <c r="P99" i="1"/>
  <c r="P98" i="1"/>
  <c r="Q98" i="1"/>
  <c r="R99" i="1"/>
  <c r="U99" i="1" s="1"/>
  <c r="R98" i="1"/>
  <c r="U98" i="1" s="1"/>
  <c r="E10" i="66"/>
  <c r="O4" i="66"/>
  <c r="I3" i="66"/>
  <c r="A6" i="66" s="1"/>
  <c r="K2" i="66" l="1"/>
  <c r="B207" i="66"/>
  <c r="F133" i="66"/>
  <c r="F132" i="66"/>
  <c r="F131" i="66"/>
  <c r="F130" i="66"/>
  <c r="F129" i="66"/>
  <c r="F128" i="66"/>
  <c r="F127" i="66"/>
  <c r="F126" i="66"/>
  <c r="F125" i="66"/>
  <c r="F124" i="66"/>
  <c r="F123" i="66"/>
  <c r="F122" i="66"/>
  <c r="F114" i="66"/>
  <c r="F113" i="66"/>
  <c r="F112" i="66"/>
  <c r="F111" i="66"/>
  <c r="F110" i="66"/>
  <c r="F109" i="66"/>
  <c r="F108" i="66"/>
  <c r="C108" i="66"/>
  <c r="B108" i="66"/>
  <c r="B73" i="66"/>
  <c r="B72" i="66"/>
  <c r="I69" i="66"/>
  <c r="F69" i="66"/>
  <c r="I68" i="66"/>
  <c r="F68" i="66"/>
  <c r="K67" i="66"/>
  <c r="I64" i="66"/>
  <c r="H64" i="66"/>
  <c r="K59" i="66"/>
  <c r="J59" i="66"/>
  <c r="I59" i="66"/>
  <c r="C59" i="66"/>
  <c r="K53" i="66"/>
  <c r="J53" i="66"/>
  <c r="I53" i="66"/>
  <c r="C53" i="66"/>
  <c r="K52" i="66"/>
  <c r="J52" i="66"/>
  <c r="I52" i="66"/>
  <c r="C52" i="66"/>
  <c r="K51" i="66"/>
  <c r="J51" i="66"/>
  <c r="I51" i="66"/>
  <c r="C51" i="66"/>
  <c r="K50" i="66"/>
  <c r="J50" i="66"/>
  <c r="I50" i="66"/>
  <c r="C50" i="66"/>
  <c r="K49" i="66"/>
  <c r="J49" i="66"/>
  <c r="I49" i="66"/>
  <c r="C49" i="66"/>
  <c r="K48" i="66"/>
  <c r="J48" i="66"/>
  <c r="I48" i="66"/>
  <c r="C48" i="66"/>
  <c r="K47" i="66"/>
  <c r="J47" i="66"/>
  <c r="I47" i="66"/>
  <c r="C47" i="66"/>
  <c r="K46" i="66"/>
  <c r="J46" i="66"/>
  <c r="I46" i="66"/>
  <c r="C46" i="66"/>
  <c r="K45" i="66"/>
  <c r="J45" i="66"/>
  <c r="I45" i="66"/>
  <c r="C45" i="66"/>
  <c r="K44" i="66"/>
  <c r="J44" i="66"/>
  <c r="I44" i="66"/>
  <c r="C44" i="66"/>
  <c r="K43" i="66"/>
  <c r="J43" i="66"/>
  <c r="I43" i="66"/>
  <c r="C43" i="66"/>
  <c r="K42" i="66"/>
  <c r="J42" i="66"/>
  <c r="I42" i="66"/>
  <c r="C42" i="66"/>
  <c r="I41" i="66"/>
  <c r="C41" i="66"/>
  <c r="I40" i="66"/>
  <c r="C40" i="66"/>
  <c r="I39" i="66"/>
  <c r="C39" i="66"/>
  <c r="I38" i="66"/>
  <c r="C38" i="66"/>
  <c r="I37" i="66"/>
  <c r="C37" i="66"/>
  <c r="I36" i="66"/>
  <c r="C36" i="66"/>
  <c r="I35" i="66"/>
  <c r="C35" i="66"/>
  <c r="J29" i="66"/>
  <c r="I29" i="66"/>
  <c r="H29" i="66"/>
  <c r="G29" i="66"/>
  <c r="F29" i="66"/>
  <c r="E29" i="66"/>
  <c r="J28" i="66"/>
  <c r="I28" i="66"/>
  <c r="H28" i="66"/>
  <c r="G28" i="66"/>
  <c r="F28" i="66"/>
  <c r="E28" i="66"/>
  <c r="J27" i="66"/>
  <c r="I27" i="66"/>
  <c r="H27" i="66"/>
  <c r="G27" i="66"/>
  <c r="F27" i="66"/>
  <c r="E27" i="66"/>
  <c r="J26" i="66"/>
  <c r="I26" i="66"/>
  <c r="H26" i="66"/>
  <c r="G26" i="66"/>
  <c r="F26" i="66"/>
  <c r="E26" i="66"/>
  <c r="J25" i="66"/>
  <c r="I25" i="66"/>
  <c r="H25" i="66"/>
  <c r="G25" i="66"/>
  <c r="F25" i="66"/>
  <c r="E25" i="66"/>
  <c r="J24" i="66"/>
  <c r="I24" i="66"/>
  <c r="H24" i="66"/>
  <c r="G24" i="66"/>
  <c r="F24" i="66"/>
  <c r="E24" i="66"/>
  <c r="J23" i="66"/>
  <c r="I23" i="66"/>
  <c r="H23" i="66"/>
  <c r="G23" i="66"/>
  <c r="F23" i="66"/>
  <c r="E23" i="66"/>
  <c r="J22" i="66"/>
  <c r="I22" i="66"/>
  <c r="H22" i="66"/>
  <c r="G22" i="66"/>
  <c r="F22" i="66"/>
  <c r="E22" i="66"/>
  <c r="J21" i="66"/>
  <c r="I21" i="66"/>
  <c r="H21" i="66"/>
  <c r="G21" i="66"/>
  <c r="F21" i="66"/>
  <c r="E21" i="66"/>
  <c r="J20" i="66"/>
  <c r="I20" i="66"/>
  <c r="H20" i="66"/>
  <c r="G20" i="66"/>
  <c r="F20" i="66"/>
  <c r="E20" i="66"/>
  <c r="E19" i="66"/>
  <c r="E18" i="66"/>
  <c r="E16" i="66"/>
  <c r="E13" i="66"/>
  <c r="E12" i="66"/>
  <c r="E11" i="66"/>
  <c r="E8" i="66"/>
  <c r="H88" i="2"/>
  <c r="H105" i="2"/>
  <c r="H90" i="2"/>
  <c r="H111" i="2"/>
  <c r="H71" i="2"/>
  <c r="H112" i="2"/>
  <c r="H75" i="2"/>
  <c r="H4" i="2"/>
  <c r="H87" i="2"/>
  <c r="H67" i="2"/>
  <c r="H37" i="2"/>
  <c r="H53" i="2"/>
  <c r="H83" i="2"/>
  <c r="H9" i="2"/>
  <c r="H18" i="2"/>
  <c r="H31" i="2"/>
  <c r="H85" i="2"/>
  <c r="H104" i="2"/>
  <c r="H68" i="2"/>
  <c r="H20" i="2"/>
  <c r="B7" i="49"/>
  <c r="E6" i="57"/>
  <c r="D4" i="57"/>
  <c r="D3" i="57"/>
  <c r="H52" i="2"/>
  <c r="H62" i="2"/>
  <c r="H51" i="2"/>
  <c r="H81" i="2"/>
  <c r="H113" i="2"/>
  <c r="H119" i="2"/>
  <c r="H49" i="2"/>
  <c r="H65" i="2"/>
  <c r="H115" i="2"/>
  <c r="H58" i="2"/>
  <c r="H26" i="2"/>
  <c r="H54" i="2"/>
  <c r="L3" i="52"/>
  <c r="L4" i="52" s="1"/>
  <c r="U2" i="52"/>
  <c r="T2" i="52"/>
  <c r="S2" i="52"/>
  <c r="R2" i="52"/>
  <c r="Q2" i="52"/>
  <c r="P2" i="52"/>
  <c r="O2" i="52"/>
  <c r="N2" i="52"/>
  <c r="M2" i="52"/>
  <c r="N12" i="1"/>
  <c r="N39" i="1"/>
  <c r="N41" i="1"/>
  <c r="H39" i="1"/>
  <c r="J41" i="1"/>
  <c r="J39" i="1"/>
  <c r="H41" i="1"/>
  <c r="O3" i="1"/>
  <c r="O7" i="1"/>
  <c r="O21" i="1"/>
  <c r="O25" i="1"/>
  <c r="O70" i="1"/>
  <c r="O2" i="1"/>
  <c r="O74" i="1"/>
  <c r="O75" i="1"/>
  <c r="O76" i="1"/>
  <c r="O77" i="1"/>
  <c r="O78" i="1"/>
  <c r="O79" i="1"/>
  <c r="O80" i="1"/>
  <c r="O81" i="1"/>
  <c r="O82" i="1"/>
  <c r="O83" i="1"/>
  <c r="O84" i="1"/>
  <c r="O85" i="1"/>
  <c r="O86" i="1"/>
  <c r="O87" i="1"/>
  <c r="O88" i="1"/>
  <c r="O89" i="1"/>
  <c r="O90" i="1"/>
  <c r="O91" i="1"/>
  <c r="O92" i="1"/>
  <c r="O93" i="1"/>
  <c r="O94" i="1"/>
  <c r="O95" i="1"/>
  <c r="O96" i="1"/>
  <c r="O97" i="1"/>
  <c r="O100" i="1"/>
  <c r="O101" i="1"/>
  <c r="T3" i="1"/>
  <c r="T7" i="1"/>
  <c r="T25" i="1"/>
  <c r="T70" i="1"/>
  <c r="T2" i="1"/>
  <c r="T74" i="1"/>
  <c r="T75" i="1"/>
  <c r="T76" i="1"/>
  <c r="T77" i="1"/>
  <c r="T78" i="1"/>
  <c r="T79" i="1"/>
  <c r="T80" i="1"/>
  <c r="T81" i="1"/>
  <c r="T82" i="1"/>
  <c r="T83" i="1"/>
  <c r="T84" i="1"/>
  <c r="T85" i="1"/>
  <c r="T86" i="1"/>
  <c r="T87" i="1"/>
  <c r="T88" i="1"/>
  <c r="T89" i="1"/>
  <c r="T90" i="1"/>
  <c r="T91" i="1"/>
  <c r="T92" i="1"/>
  <c r="T93" i="1"/>
  <c r="T94" i="1"/>
  <c r="T95" i="1"/>
  <c r="T96" i="1"/>
  <c r="T97" i="1"/>
  <c r="T100" i="1"/>
  <c r="T101" i="1"/>
  <c r="S3" i="1"/>
  <c r="S7" i="1"/>
  <c r="S25" i="1"/>
  <c r="S70" i="1"/>
  <c r="S2" i="1"/>
  <c r="S74" i="1"/>
  <c r="S75" i="1"/>
  <c r="S76" i="1"/>
  <c r="S77" i="1"/>
  <c r="S78" i="1"/>
  <c r="S79" i="1"/>
  <c r="S80" i="1"/>
  <c r="S81" i="1"/>
  <c r="S82" i="1"/>
  <c r="S83" i="1"/>
  <c r="S84" i="1"/>
  <c r="S85" i="1"/>
  <c r="S86" i="1"/>
  <c r="S87" i="1"/>
  <c r="S88" i="1"/>
  <c r="S89" i="1"/>
  <c r="S90" i="1"/>
  <c r="S91" i="1"/>
  <c r="S92" i="1"/>
  <c r="S93" i="1"/>
  <c r="S94" i="1"/>
  <c r="S95" i="1"/>
  <c r="S96" i="1"/>
  <c r="S97" i="1"/>
  <c r="S100" i="1"/>
  <c r="S101" i="1"/>
  <c r="N4" i="1"/>
  <c r="N3" i="1"/>
  <c r="N6" i="1"/>
  <c r="N7" i="1"/>
  <c r="N8" i="1"/>
  <c r="N46" i="1"/>
  <c r="N17" i="1"/>
  <c r="N13" i="1"/>
  <c r="N14" i="1"/>
  <c r="N15" i="1"/>
  <c r="N54" i="1"/>
  <c r="N59" i="1"/>
  <c r="N60" i="1"/>
  <c r="N9" i="1"/>
  <c r="N10" i="1"/>
  <c r="N11" i="1"/>
  <c r="N18" i="1"/>
  <c r="N19" i="1"/>
  <c r="N20" i="1"/>
  <c r="N21" i="1"/>
  <c r="P21" i="1" s="1"/>
  <c r="N22" i="1"/>
  <c r="N23" i="1"/>
  <c r="N25" i="1"/>
  <c r="N26" i="1"/>
  <c r="N27" i="1"/>
  <c r="N28" i="1"/>
  <c r="N29" i="1"/>
  <c r="N47" i="1"/>
  <c r="N30" i="1"/>
  <c r="N31" i="1"/>
  <c r="N32" i="1"/>
  <c r="N33" i="1"/>
  <c r="N34" i="1"/>
  <c r="N42" i="1"/>
  <c r="N35" i="1"/>
  <c r="N36" i="1"/>
  <c r="N37" i="1"/>
  <c r="N38" i="1"/>
  <c r="N43" i="1"/>
  <c r="N44" i="1"/>
  <c r="N45" i="1"/>
  <c r="N48" i="1"/>
  <c r="N49" i="1"/>
  <c r="N51" i="1"/>
  <c r="N53" i="1"/>
  <c r="N55" i="1"/>
  <c r="N56" i="1"/>
  <c r="N65" i="1"/>
  <c r="N57" i="1"/>
  <c r="N58" i="1"/>
  <c r="N61" i="1"/>
  <c r="N63" i="1"/>
  <c r="N64" i="1"/>
  <c r="N66" i="1"/>
  <c r="N67" i="1"/>
  <c r="N72" i="1"/>
  <c r="N68" i="1"/>
  <c r="N69" i="1"/>
  <c r="N70" i="1"/>
  <c r="N71" i="1"/>
  <c r="N62" i="1"/>
  <c r="N73" i="1"/>
  <c r="N24" i="1"/>
  <c r="N40" i="1"/>
  <c r="N2" i="1"/>
  <c r="N50" i="1"/>
  <c r="N52" i="1"/>
  <c r="N16" i="1"/>
  <c r="N74" i="1"/>
  <c r="N75" i="1"/>
  <c r="N76" i="1"/>
  <c r="N77" i="1"/>
  <c r="N78" i="1"/>
  <c r="N79" i="1"/>
  <c r="N80" i="1"/>
  <c r="N81" i="1"/>
  <c r="N82" i="1"/>
  <c r="N83" i="1"/>
  <c r="N84" i="1"/>
  <c r="N85" i="1"/>
  <c r="N86" i="1"/>
  <c r="N87" i="1"/>
  <c r="N88" i="1"/>
  <c r="N89" i="1"/>
  <c r="N90" i="1"/>
  <c r="N91" i="1"/>
  <c r="N92" i="1"/>
  <c r="N93" i="1"/>
  <c r="N94" i="1"/>
  <c r="N95" i="1"/>
  <c r="N96" i="1"/>
  <c r="N97" i="1"/>
  <c r="N100" i="1"/>
  <c r="N101" i="1"/>
  <c r="O10" i="48"/>
  <c r="O11" i="48"/>
  <c r="O12" i="48"/>
  <c r="N10" i="48"/>
  <c r="N11" i="48"/>
  <c r="N12" i="48"/>
  <c r="J10" i="48"/>
  <c r="J11" i="48"/>
  <c r="J12" i="48"/>
  <c r="L10" i="48"/>
  <c r="L11" i="48"/>
  <c r="L12" i="48"/>
  <c r="K10" i="48"/>
  <c r="K11" i="48"/>
  <c r="K12" i="48"/>
  <c r="I2" i="48"/>
  <c r="K2" i="48" s="1"/>
  <c r="N2" i="48" s="1"/>
  <c r="I3" i="48"/>
  <c r="L3" i="48" s="1"/>
  <c r="I4" i="48"/>
  <c r="L4" i="48" s="1"/>
  <c r="I5" i="48"/>
  <c r="L5" i="48" s="1"/>
  <c r="I6" i="48"/>
  <c r="L6" i="48" s="1"/>
  <c r="I7" i="48"/>
  <c r="J7" i="48" s="1"/>
  <c r="I8" i="48"/>
  <c r="L8" i="48" s="1"/>
  <c r="I9" i="48"/>
  <c r="L9" i="48" s="1"/>
  <c r="I10" i="48"/>
  <c r="I11" i="48"/>
  <c r="I12" i="48"/>
  <c r="P77" i="1" l="1"/>
  <c r="Q77" i="1"/>
  <c r="P44" i="1"/>
  <c r="Q44" i="1"/>
  <c r="P38" i="1"/>
  <c r="Q38" i="1"/>
  <c r="P46" i="1"/>
  <c r="Q46" i="1"/>
  <c r="P100" i="1"/>
  <c r="Q100" i="1"/>
  <c r="P74" i="1"/>
  <c r="Q74" i="1"/>
  <c r="P64" i="1"/>
  <c r="Q64" i="1"/>
  <c r="P22" i="1"/>
  <c r="Q22" i="1"/>
  <c r="P41" i="1"/>
  <c r="Q41" i="1"/>
  <c r="P81" i="1"/>
  <c r="Q81" i="1"/>
  <c r="P71" i="1"/>
  <c r="Q71" i="1"/>
  <c r="P63" i="1"/>
  <c r="Q63" i="1"/>
  <c r="Q51" i="1"/>
  <c r="P51" i="1"/>
  <c r="P36" i="1"/>
  <c r="Q36" i="1"/>
  <c r="P47" i="1"/>
  <c r="Q47" i="1"/>
  <c r="P59" i="1"/>
  <c r="Q59" i="1"/>
  <c r="P7" i="1"/>
  <c r="Q7" i="1"/>
  <c r="P39" i="1"/>
  <c r="Q39" i="1"/>
  <c r="P84" i="1"/>
  <c r="Q84" i="1"/>
  <c r="Q67" i="1"/>
  <c r="P67" i="1"/>
  <c r="P43" i="1"/>
  <c r="Q43" i="1"/>
  <c r="P10" i="1"/>
  <c r="Q10" i="1"/>
  <c r="P101" i="1"/>
  <c r="Q101" i="1"/>
  <c r="P73" i="1"/>
  <c r="Q73" i="1"/>
  <c r="Q23" i="1"/>
  <c r="P23" i="1"/>
  <c r="P82" i="1"/>
  <c r="Q82" i="1"/>
  <c r="P30" i="1"/>
  <c r="Q30" i="1"/>
  <c r="O52" i="1"/>
  <c r="P52" i="1"/>
  <c r="Q52" i="1"/>
  <c r="Q70" i="1"/>
  <c r="P70" i="1"/>
  <c r="Q61" i="1"/>
  <c r="P61" i="1"/>
  <c r="P49" i="1"/>
  <c r="Q49" i="1"/>
  <c r="P35" i="1"/>
  <c r="S35" i="1" s="1"/>
  <c r="Q35" i="1"/>
  <c r="P29" i="1"/>
  <c r="Q29" i="1"/>
  <c r="P20" i="1"/>
  <c r="Q20" i="1"/>
  <c r="P54" i="1"/>
  <c r="Q54" i="1"/>
  <c r="P85" i="1"/>
  <c r="Q85" i="1"/>
  <c r="P72" i="1"/>
  <c r="Q72" i="1"/>
  <c r="P33" i="1"/>
  <c r="Q33" i="1"/>
  <c r="P11" i="1"/>
  <c r="Q11" i="1"/>
  <c r="P76" i="1"/>
  <c r="Q76" i="1"/>
  <c r="P56" i="1"/>
  <c r="Q56" i="1"/>
  <c r="P25" i="1"/>
  <c r="Q25" i="1"/>
  <c r="Q83" i="1"/>
  <c r="P83" i="1"/>
  <c r="P66" i="1"/>
  <c r="Q66" i="1"/>
  <c r="P31" i="1"/>
  <c r="Q31" i="1"/>
  <c r="P53" i="1"/>
  <c r="Q53" i="1"/>
  <c r="P60" i="1"/>
  <c r="Q60" i="1"/>
  <c r="P89" i="1"/>
  <c r="Q89" i="1"/>
  <c r="P96" i="1"/>
  <c r="Q96" i="1"/>
  <c r="P88" i="1"/>
  <c r="Q88" i="1"/>
  <c r="Q80" i="1"/>
  <c r="P80" i="1"/>
  <c r="P95" i="1"/>
  <c r="Q95" i="1"/>
  <c r="P87" i="1"/>
  <c r="Q87" i="1"/>
  <c r="Q79" i="1"/>
  <c r="P79" i="1"/>
  <c r="O50" i="1"/>
  <c r="P50" i="1"/>
  <c r="Q50" i="1"/>
  <c r="P69" i="1"/>
  <c r="Q69" i="1"/>
  <c r="Q58" i="1"/>
  <c r="P58" i="1"/>
  <c r="Q48" i="1"/>
  <c r="P48" i="1"/>
  <c r="Q42" i="1"/>
  <c r="P42" i="1"/>
  <c r="P28" i="1"/>
  <c r="Q28" i="1"/>
  <c r="P19" i="1"/>
  <c r="Q19" i="1"/>
  <c r="P15" i="1"/>
  <c r="Q15" i="1"/>
  <c r="P3" i="1"/>
  <c r="Q3" i="1"/>
  <c r="P93" i="1"/>
  <c r="Q93" i="1"/>
  <c r="P40" i="1"/>
  <c r="T40" i="1" s="1"/>
  <c r="Q40" i="1"/>
  <c r="P65" i="1"/>
  <c r="Q65" i="1"/>
  <c r="P26" i="1"/>
  <c r="Q26" i="1"/>
  <c r="P92" i="1"/>
  <c r="Q92" i="1"/>
  <c r="Q24" i="1"/>
  <c r="P24" i="1"/>
  <c r="S24" i="1" s="1"/>
  <c r="P32" i="1"/>
  <c r="Q32" i="1"/>
  <c r="P17" i="1"/>
  <c r="Q17" i="1"/>
  <c r="Q91" i="1"/>
  <c r="P91" i="1"/>
  <c r="Q75" i="1"/>
  <c r="P75" i="1"/>
  <c r="P55" i="1"/>
  <c r="Q55" i="1"/>
  <c r="P9" i="1"/>
  <c r="Q9" i="1"/>
  <c r="P90" i="1"/>
  <c r="Q90" i="1"/>
  <c r="O62" i="1"/>
  <c r="P62" i="1"/>
  <c r="Q62" i="1"/>
  <c r="P37" i="1"/>
  <c r="Q37" i="1"/>
  <c r="Q8" i="1"/>
  <c r="P8" i="1"/>
  <c r="P97" i="1"/>
  <c r="Q97" i="1"/>
  <c r="Q94" i="1"/>
  <c r="P94" i="1"/>
  <c r="P86" i="1"/>
  <c r="Q86" i="1"/>
  <c r="Q78" i="1"/>
  <c r="P78" i="1"/>
  <c r="P2" i="1"/>
  <c r="Q2" i="1"/>
  <c r="P68" i="1"/>
  <c r="Q68" i="1"/>
  <c r="P57" i="1"/>
  <c r="Q57" i="1"/>
  <c r="P45" i="1"/>
  <c r="Q45" i="1"/>
  <c r="Q34" i="1"/>
  <c r="P34" i="1"/>
  <c r="S34" i="1" s="1"/>
  <c r="Q27" i="1"/>
  <c r="P27" i="1"/>
  <c r="Q18" i="1"/>
  <c r="P18" i="1"/>
  <c r="P14" i="1"/>
  <c r="Q14" i="1"/>
  <c r="P4" i="1"/>
  <c r="T4" i="1" s="1"/>
  <c r="Q4" i="1"/>
  <c r="P12" i="1"/>
  <c r="Q12" i="1"/>
  <c r="Q13" i="1"/>
  <c r="P13" i="1"/>
  <c r="P16" i="1"/>
  <c r="Q16" i="1"/>
  <c r="P6" i="1"/>
  <c r="Q6" i="1"/>
  <c r="Q21" i="1"/>
  <c r="O16" i="1"/>
  <c r="S42" i="1"/>
  <c r="O42" i="1"/>
  <c r="O34" i="1"/>
  <c r="O66" i="1"/>
  <c r="O39" i="1"/>
  <c r="J9" i="48"/>
  <c r="K9" i="48"/>
  <c r="E17" i="66"/>
  <c r="K17" i="66" s="1"/>
  <c r="F10" i="66"/>
  <c r="F11" i="66"/>
  <c r="F12" i="66"/>
  <c r="F13" i="66"/>
  <c r="F16" i="66"/>
  <c r="F18" i="66"/>
  <c r="F19" i="66"/>
  <c r="E3" i="57"/>
  <c r="E4" i="57"/>
  <c r="E7" i="57"/>
  <c r="K68" i="66"/>
  <c r="K69" i="66"/>
  <c r="K20" i="66"/>
  <c r="K21" i="66"/>
  <c r="K22" i="66"/>
  <c r="K23" i="66"/>
  <c r="K24" i="66"/>
  <c r="K25" i="66"/>
  <c r="K26" i="66"/>
  <c r="K27" i="66"/>
  <c r="K28" i="66"/>
  <c r="K29" i="66"/>
  <c r="D5" i="57"/>
  <c r="J5" i="57" s="1"/>
  <c r="D6" i="57"/>
  <c r="D7" i="57"/>
  <c r="O40" i="1"/>
  <c r="O24" i="1"/>
  <c r="O41" i="1"/>
  <c r="L7" i="48"/>
  <c r="L5" i="52"/>
  <c r="T4" i="52"/>
  <c r="R4" i="52"/>
  <c r="P4" i="52"/>
  <c r="N4" i="52"/>
  <c r="U4" i="52"/>
  <c r="S4" i="52"/>
  <c r="Q4" i="52"/>
  <c r="O4" i="52"/>
  <c r="M4" i="52"/>
  <c r="K7" i="48"/>
  <c r="O7" i="48" s="1"/>
  <c r="M3" i="52"/>
  <c r="O3" i="52"/>
  <c r="Q3" i="52"/>
  <c r="S3" i="52"/>
  <c r="U3" i="52"/>
  <c r="N3" i="52"/>
  <c r="P3" i="52"/>
  <c r="R3" i="52"/>
  <c r="T3" i="52"/>
  <c r="O14" i="1"/>
  <c r="O38" i="1"/>
  <c r="J8" i="48"/>
  <c r="K8" i="48"/>
  <c r="M8" i="48" s="1"/>
  <c r="O2" i="48"/>
  <c r="J4" i="48"/>
  <c r="O68" i="1"/>
  <c r="O67" i="1"/>
  <c r="O64" i="1"/>
  <c r="O61" i="1"/>
  <c r="O57" i="1"/>
  <c r="O56" i="1"/>
  <c r="O53" i="1"/>
  <c r="O49" i="1"/>
  <c r="O45" i="1"/>
  <c r="O43" i="1"/>
  <c r="O37" i="1"/>
  <c r="O30" i="1"/>
  <c r="O29" i="1"/>
  <c r="O27" i="1"/>
  <c r="O22" i="1"/>
  <c r="O20" i="1"/>
  <c r="O18" i="1"/>
  <c r="O10" i="1"/>
  <c r="O60" i="1"/>
  <c r="O54" i="1"/>
  <c r="O12" i="1"/>
  <c r="O46" i="1"/>
  <c r="O4" i="1"/>
  <c r="R100" i="1"/>
  <c r="U100" i="1" s="1"/>
  <c r="R96" i="1"/>
  <c r="U96" i="1" s="1"/>
  <c r="R94" i="1"/>
  <c r="U94" i="1" s="1"/>
  <c r="R92" i="1"/>
  <c r="U92" i="1" s="1"/>
  <c r="R90" i="1"/>
  <c r="U90" i="1" s="1"/>
  <c r="R88" i="1"/>
  <c r="U88" i="1" s="1"/>
  <c r="R86" i="1"/>
  <c r="U86" i="1" s="1"/>
  <c r="R84" i="1"/>
  <c r="U84" i="1" s="1"/>
  <c r="R82" i="1"/>
  <c r="U82" i="1" s="1"/>
  <c r="R80" i="1"/>
  <c r="U80" i="1" s="1"/>
  <c r="R78" i="1"/>
  <c r="U78" i="1" s="1"/>
  <c r="R76" i="1"/>
  <c r="U76" i="1" s="1"/>
  <c r="R74" i="1"/>
  <c r="U74" i="1" s="1"/>
  <c r="R2" i="1"/>
  <c r="U2" i="1" s="1"/>
  <c r="R70" i="1"/>
  <c r="U70" i="1" s="1"/>
  <c r="R25" i="1"/>
  <c r="U25" i="1" s="1"/>
  <c r="R7" i="1"/>
  <c r="U7" i="1" s="1"/>
  <c r="R3" i="1"/>
  <c r="U3" i="1" s="1"/>
  <c r="O73" i="1"/>
  <c r="O71" i="1"/>
  <c r="O69" i="1"/>
  <c r="O72" i="1"/>
  <c r="O58" i="1"/>
  <c r="O65" i="1"/>
  <c r="O55" i="1"/>
  <c r="O51" i="1"/>
  <c r="O48" i="1"/>
  <c r="O44" i="1"/>
  <c r="O36" i="1"/>
  <c r="O33" i="1"/>
  <c r="O47" i="1"/>
  <c r="O28" i="1"/>
  <c r="O26" i="1"/>
  <c r="O23" i="1"/>
  <c r="O19" i="1"/>
  <c r="O11" i="1"/>
  <c r="O9" i="1"/>
  <c r="O59" i="1"/>
  <c r="O15" i="1"/>
  <c r="O13" i="1"/>
  <c r="O17" i="1"/>
  <c r="O8" i="1"/>
  <c r="O6" i="1"/>
  <c r="R101" i="1"/>
  <c r="U101" i="1" s="1"/>
  <c r="R97" i="1"/>
  <c r="U97" i="1" s="1"/>
  <c r="R95" i="1"/>
  <c r="U95" i="1" s="1"/>
  <c r="R93" i="1"/>
  <c r="U93" i="1" s="1"/>
  <c r="R91" i="1"/>
  <c r="U91" i="1" s="1"/>
  <c r="R89" i="1"/>
  <c r="U89" i="1" s="1"/>
  <c r="R87" i="1"/>
  <c r="U87" i="1" s="1"/>
  <c r="R85" i="1"/>
  <c r="U85" i="1" s="1"/>
  <c r="R83" i="1"/>
  <c r="U83" i="1" s="1"/>
  <c r="R81" i="1"/>
  <c r="U81" i="1" s="1"/>
  <c r="R79" i="1"/>
  <c r="U79" i="1" s="1"/>
  <c r="R77" i="1"/>
  <c r="U77" i="1" s="1"/>
  <c r="R75" i="1"/>
  <c r="U75" i="1" s="1"/>
  <c r="R21" i="1"/>
  <c r="S21" i="1"/>
  <c r="T21" i="1"/>
  <c r="J6" i="48"/>
  <c r="J3" i="48"/>
  <c r="J5" i="48"/>
  <c r="J2" i="48"/>
  <c r="K6" i="48"/>
  <c r="M6" i="48" s="1"/>
  <c r="K4" i="48"/>
  <c r="M4" i="48" s="1"/>
  <c r="K5" i="48"/>
  <c r="M5" i="48" s="1"/>
  <c r="K3" i="48"/>
  <c r="M3" i="48" s="1"/>
  <c r="L2" i="48"/>
  <c r="M2" i="48" s="1"/>
  <c r="O32" i="1"/>
  <c r="O31" i="1"/>
  <c r="H10" i="2"/>
  <c r="H21" i="2"/>
  <c r="H61" i="2"/>
  <c r="H108" i="2"/>
  <c r="H84" i="2"/>
  <c r="H109" i="2"/>
  <c r="H23" i="2"/>
  <c r="H11" i="2"/>
  <c r="AO2" i="1"/>
  <c r="AO3" i="1"/>
  <c r="AO4" i="1"/>
  <c r="AO5" i="1"/>
  <c r="AO6" i="1"/>
  <c r="AO7" i="1"/>
  <c r="AO8" i="1"/>
  <c r="AO10" i="1"/>
  <c r="AO11" i="1"/>
  <c r="AO9" i="1"/>
  <c r="M9" i="48"/>
  <c r="M10" i="48"/>
  <c r="P10" i="48" s="1"/>
  <c r="M11" i="48"/>
  <c r="P11" i="48" s="1"/>
  <c r="M12" i="48"/>
  <c r="P12" i="48" s="1"/>
  <c r="G11" i="136" l="1"/>
  <c r="R16" i="1"/>
  <c r="R40" i="1"/>
  <c r="S40" i="1"/>
  <c r="R72" i="1"/>
  <c r="R4" i="1"/>
  <c r="T24" i="1"/>
  <c r="R73" i="1"/>
  <c r="R50" i="1"/>
  <c r="R24" i="1"/>
  <c r="G10" i="136"/>
  <c r="H11" i="136"/>
  <c r="R62" i="1"/>
  <c r="R52" i="1"/>
  <c r="T16" i="1"/>
  <c r="S16" i="1"/>
  <c r="T52" i="1"/>
  <c r="S52" i="1"/>
  <c r="S50" i="1"/>
  <c r="T50" i="1"/>
  <c r="T62" i="1"/>
  <c r="S62" i="1"/>
  <c r="T42" i="1"/>
  <c r="R42" i="1"/>
  <c r="U42" i="1" s="1"/>
  <c r="R39" i="1"/>
  <c r="R53" i="1"/>
  <c r="H13" i="66"/>
  <c r="R51" i="1"/>
  <c r="R66" i="1"/>
  <c r="R34" i="1"/>
  <c r="T35" i="1"/>
  <c r="R35" i="1"/>
  <c r="T34" i="1"/>
  <c r="T32" i="1"/>
  <c r="R48" i="1"/>
  <c r="T66" i="1"/>
  <c r="S66" i="1"/>
  <c r="F6" i="57"/>
  <c r="E31" i="66"/>
  <c r="G7" i="57"/>
  <c r="R38" i="1"/>
  <c r="P2" i="48"/>
  <c r="O9" i="48"/>
  <c r="N9" i="48"/>
  <c r="F31" i="66"/>
  <c r="N7" i="48"/>
  <c r="H16" i="66"/>
  <c r="H19" i="66"/>
  <c r="H18" i="66"/>
  <c r="H10" i="66"/>
  <c r="G11" i="66"/>
  <c r="G19" i="66"/>
  <c r="G18" i="66"/>
  <c r="G16" i="66"/>
  <c r="G13" i="66"/>
  <c r="G12" i="66"/>
  <c r="G10" i="66"/>
  <c r="H11" i="66"/>
  <c r="H12" i="66"/>
  <c r="G6" i="57"/>
  <c r="F4" i="57"/>
  <c r="F3" i="57"/>
  <c r="F7" i="57"/>
  <c r="M7" i="48"/>
  <c r="L6" i="52"/>
  <c r="T5" i="52"/>
  <c r="R5" i="52"/>
  <c r="P5" i="52"/>
  <c r="N5" i="52"/>
  <c r="U5" i="52"/>
  <c r="S5" i="52"/>
  <c r="Q5" i="52"/>
  <c r="O5" i="52"/>
  <c r="M5" i="52"/>
  <c r="N8" i="48"/>
  <c r="O8" i="48"/>
  <c r="N3" i="48"/>
  <c r="O3" i="48"/>
  <c r="N4" i="48"/>
  <c r="O4" i="48"/>
  <c r="N5" i="48"/>
  <c r="O5" i="48"/>
  <c r="N6" i="48"/>
  <c r="O6" i="48"/>
  <c r="N5" i="1"/>
  <c r="R6" i="1"/>
  <c r="T6" i="1"/>
  <c r="S6" i="1"/>
  <c r="R8" i="1"/>
  <c r="T8" i="1"/>
  <c r="S8" i="1"/>
  <c r="R17" i="1"/>
  <c r="T17" i="1"/>
  <c r="S17" i="1"/>
  <c r="R13" i="1"/>
  <c r="T13" i="1"/>
  <c r="S13" i="1"/>
  <c r="R15" i="1"/>
  <c r="T15" i="1"/>
  <c r="S15" i="1"/>
  <c r="R59" i="1"/>
  <c r="T59" i="1"/>
  <c r="S59" i="1"/>
  <c r="R9" i="1"/>
  <c r="T9" i="1"/>
  <c r="S9" i="1"/>
  <c r="R11" i="1"/>
  <c r="T11" i="1"/>
  <c r="S11" i="1"/>
  <c r="R19" i="1"/>
  <c r="T19" i="1"/>
  <c r="S19" i="1"/>
  <c r="R23" i="1"/>
  <c r="T23" i="1"/>
  <c r="S23" i="1"/>
  <c r="R26" i="1"/>
  <c r="T26" i="1"/>
  <c r="S26" i="1"/>
  <c r="R28" i="1"/>
  <c r="T28" i="1"/>
  <c r="S28" i="1"/>
  <c r="R47" i="1"/>
  <c r="T47" i="1"/>
  <c r="S47" i="1"/>
  <c r="R33" i="1"/>
  <c r="T33" i="1"/>
  <c r="S33" i="1"/>
  <c r="R36" i="1"/>
  <c r="T36" i="1"/>
  <c r="S36" i="1"/>
  <c r="T38" i="1"/>
  <c r="S38" i="1"/>
  <c r="R41" i="1"/>
  <c r="T41" i="1"/>
  <c r="S41" i="1"/>
  <c r="R44" i="1"/>
  <c r="T44" i="1"/>
  <c r="S44" i="1"/>
  <c r="T48" i="1"/>
  <c r="S48" i="1"/>
  <c r="T51" i="1"/>
  <c r="S51" i="1"/>
  <c r="R55" i="1"/>
  <c r="T55" i="1"/>
  <c r="S55" i="1"/>
  <c r="R65" i="1"/>
  <c r="T65" i="1"/>
  <c r="S65" i="1"/>
  <c r="R58" i="1"/>
  <c r="T58" i="1"/>
  <c r="S58" i="1"/>
  <c r="R63" i="1"/>
  <c r="T63" i="1"/>
  <c r="S63" i="1"/>
  <c r="T72" i="1"/>
  <c r="S72" i="1"/>
  <c r="R69" i="1"/>
  <c r="T69" i="1"/>
  <c r="S69" i="1"/>
  <c r="R71" i="1"/>
  <c r="T71" i="1"/>
  <c r="S71" i="1"/>
  <c r="T73" i="1"/>
  <c r="S73" i="1"/>
  <c r="R43" i="1"/>
  <c r="T43" i="1"/>
  <c r="S43" i="1"/>
  <c r="R45" i="1"/>
  <c r="T45" i="1"/>
  <c r="S45" i="1"/>
  <c r="R49" i="1"/>
  <c r="T49" i="1"/>
  <c r="S49" i="1"/>
  <c r="T53" i="1"/>
  <c r="S53" i="1"/>
  <c r="R56" i="1"/>
  <c r="T56" i="1"/>
  <c r="S56" i="1"/>
  <c r="R57" i="1"/>
  <c r="T57" i="1"/>
  <c r="S57" i="1"/>
  <c r="R61" i="1"/>
  <c r="T61" i="1"/>
  <c r="S61" i="1"/>
  <c r="R64" i="1"/>
  <c r="T64" i="1"/>
  <c r="S64" i="1"/>
  <c r="R67" i="1"/>
  <c r="T67" i="1"/>
  <c r="S67" i="1"/>
  <c r="R68" i="1"/>
  <c r="T68" i="1"/>
  <c r="S68" i="1"/>
  <c r="U21" i="1"/>
  <c r="S4" i="1"/>
  <c r="R46" i="1"/>
  <c r="T46" i="1"/>
  <c r="S46" i="1"/>
  <c r="R12" i="1"/>
  <c r="T12" i="1"/>
  <c r="S12" i="1"/>
  <c r="R14" i="1"/>
  <c r="T14" i="1"/>
  <c r="S14" i="1"/>
  <c r="R54" i="1"/>
  <c r="T54" i="1"/>
  <c r="S54" i="1"/>
  <c r="R60" i="1"/>
  <c r="T60" i="1"/>
  <c r="S60" i="1"/>
  <c r="R10" i="1"/>
  <c r="T10" i="1"/>
  <c r="S10" i="1"/>
  <c r="R18" i="1"/>
  <c r="T18" i="1"/>
  <c r="S18" i="1"/>
  <c r="R20" i="1"/>
  <c r="T20" i="1"/>
  <c r="S20" i="1"/>
  <c r="R22" i="1"/>
  <c r="T22" i="1"/>
  <c r="S22" i="1"/>
  <c r="R27" i="1"/>
  <c r="T27" i="1"/>
  <c r="S27" i="1"/>
  <c r="R29" i="1"/>
  <c r="T29" i="1"/>
  <c r="S29" i="1"/>
  <c r="R30" i="1"/>
  <c r="T30" i="1"/>
  <c r="S30" i="1"/>
  <c r="R37" i="1"/>
  <c r="T37" i="1"/>
  <c r="S37" i="1"/>
  <c r="T39" i="1"/>
  <c r="S39" i="1"/>
  <c r="H123" i="2"/>
  <c r="H5" i="2"/>
  <c r="H116" i="2"/>
  <c r="H14" i="2"/>
  <c r="H117" i="2"/>
  <c r="H27" i="2"/>
  <c r="H28" i="2"/>
  <c r="H33" i="2"/>
  <c r="H22" i="2"/>
  <c r="H6" i="2"/>
  <c r="H43" i="2"/>
  <c r="H16" i="2"/>
  <c r="H44" i="2"/>
  <c r="H2" i="2"/>
  <c r="H50" i="2"/>
  <c r="H32" i="2"/>
  <c r="H70" i="2"/>
  <c r="H64" i="2"/>
  <c r="H46" i="2"/>
  <c r="H7" i="2"/>
  <c r="H17" i="2"/>
  <c r="H100" i="2"/>
  <c r="H74" i="2"/>
  <c r="H76" i="2"/>
  <c r="H56" i="2"/>
  <c r="H78" i="2"/>
  <c r="H94" i="2"/>
  <c r="H95" i="2"/>
  <c r="H82" i="2"/>
  <c r="H99" i="2"/>
  <c r="H102" i="2"/>
  <c r="H106" i="2"/>
  <c r="H47" i="2"/>
  <c r="H30" i="2"/>
  <c r="H57" i="2"/>
  <c r="H59" i="2"/>
  <c r="H3" i="2"/>
  <c r="H60" i="2"/>
  <c r="H24" i="2"/>
  <c r="H107" i="2"/>
  <c r="H101" i="2"/>
  <c r="H93" i="2"/>
  <c r="H45" i="2"/>
  <c r="H19" i="2"/>
  <c r="H96" i="2"/>
  <c r="H29" i="2"/>
  <c r="H12" i="2"/>
  <c r="H69" i="2"/>
  <c r="H73" i="2"/>
  <c r="H86" i="2"/>
  <c r="H121" i="2"/>
  <c r="H97" i="2"/>
  <c r="H40" i="2"/>
  <c r="H55" i="2"/>
  <c r="H48" i="2"/>
  <c r="H66" i="2"/>
  <c r="H92" i="2"/>
  <c r="H72" i="2"/>
  <c r="H114" i="2"/>
  <c r="H8" i="2"/>
  <c r="H63" i="2"/>
  <c r="H118" i="2"/>
  <c r="H25" i="2"/>
  <c r="H34" i="2"/>
  <c r="H35" i="2"/>
  <c r="H36" i="2"/>
  <c r="H15" i="2"/>
  <c r="H98" i="2"/>
  <c r="H39" i="2"/>
  <c r="H80" i="2"/>
  <c r="H13" i="2"/>
  <c r="G31" i="136" l="1"/>
  <c r="U40" i="1"/>
  <c r="U24" i="1"/>
  <c r="U62" i="1"/>
  <c r="U16" i="1"/>
  <c r="P5" i="1"/>
  <c r="Q5" i="1"/>
  <c r="U52" i="1"/>
  <c r="U50" i="1"/>
  <c r="U35" i="1"/>
  <c r="U34" i="1"/>
  <c r="U66" i="1"/>
  <c r="R31" i="1"/>
  <c r="J41" i="66"/>
  <c r="K41" i="66" s="1"/>
  <c r="P7" i="48"/>
  <c r="O5" i="1"/>
  <c r="J36" i="66"/>
  <c r="K36" i="66" s="1"/>
  <c r="P9" i="48"/>
  <c r="J37" i="66"/>
  <c r="K37" i="66" s="1"/>
  <c r="J40" i="66"/>
  <c r="K40" i="66" s="1"/>
  <c r="J39" i="66"/>
  <c r="K39" i="66" s="1"/>
  <c r="J35" i="66"/>
  <c r="K35" i="66" s="1"/>
  <c r="J38" i="66"/>
  <c r="K38" i="66" s="1"/>
  <c r="R32" i="1"/>
  <c r="S32" i="1"/>
  <c r="T31" i="1"/>
  <c r="G31" i="66"/>
  <c r="H31" i="66"/>
  <c r="S31" i="1"/>
  <c r="P3" i="48"/>
  <c r="P6" i="48"/>
  <c r="P5" i="48"/>
  <c r="L7" i="52"/>
  <c r="T6" i="52"/>
  <c r="R6" i="52"/>
  <c r="P6" i="52"/>
  <c r="N6" i="52"/>
  <c r="U6" i="52"/>
  <c r="S6" i="52"/>
  <c r="Q6" i="52"/>
  <c r="O6" i="52"/>
  <c r="M6" i="52"/>
  <c r="P8" i="48"/>
  <c r="P4" i="48"/>
  <c r="U53" i="1"/>
  <c r="U51" i="1"/>
  <c r="U39" i="1"/>
  <c r="U73" i="1"/>
  <c r="U72" i="1"/>
  <c r="U48" i="1"/>
  <c r="U38" i="1"/>
  <c r="U37" i="1"/>
  <c r="U30" i="1"/>
  <c r="U27" i="1"/>
  <c r="U20" i="1"/>
  <c r="U10" i="1"/>
  <c r="U54" i="1"/>
  <c r="U12" i="1"/>
  <c r="U4" i="1"/>
  <c r="U68" i="1"/>
  <c r="U64" i="1"/>
  <c r="U57" i="1"/>
  <c r="U45" i="1"/>
  <c r="U69" i="1"/>
  <c r="U63" i="1"/>
  <c r="U65" i="1"/>
  <c r="U44" i="1"/>
  <c r="U33" i="1"/>
  <c r="U47" i="1"/>
  <c r="U26" i="1"/>
  <c r="U19" i="1"/>
  <c r="U9" i="1"/>
  <c r="U15" i="1"/>
  <c r="U17" i="1"/>
  <c r="U6" i="1"/>
  <c r="U29" i="1"/>
  <c r="U22" i="1"/>
  <c r="U18" i="1"/>
  <c r="U60" i="1"/>
  <c r="U14" i="1"/>
  <c r="U46" i="1"/>
  <c r="U67" i="1"/>
  <c r="U61" i="1"/>
  <c r="U56" i="1"/>
  <c r="U49" i="1"/>
  <c r="U43" i="1"/>
  <c r="U71" i="1"/>
  <c r="U58" i="1"/>
  <c r="U55" i="1"/>
  <c r="U41" i="1"/>
  <c r="U36" i="1"/>
  <c r="U28" i="1"/>
  <c r="U23" i="1"/>
  <c r="U11" i="1"/>
  <c r="U59" i="1"/>
  <c r="U13" i="1"/>
  <c r="U8" i="1"/>
  <c r="H10" i="136" l="1"/>
  <c r="H31" i="136" s="1"/>
  <c r="E64" i="136" s="1"/>
  <c r="K64" i="136" s="1"/>
  <c r="I10" i="136"/>
  <c r="I11" i="136"/>
  <c r="J11" i="136"/>
  <c r="J13" i="66"/>
  <c r="H6" i="57"/>
  <c r="U32" i="1"/>
  <c r="G3" i="57"/>
  <c r="G4" i="57"/>
  <c r="H4" i="57"/>
  <c r="H3" i="57"/>
  <c r="I19" i="66"/>
  <c r="I16" i="66"/>
  <c r="I12" i="66"/>
  <c r="I18" i="66"/>
  <c r="I13" i="66"/>
  <c r="I10" i="66"/>
  <c r="U31" i="1"/>
  <c r="K61" i="66"/>
  <c r="E64" i="66" s="1"/>
  <c r="J16" i="66"/>
  <c r="J10" i="66"/>
  <c r="J11" i="66"/>
  <c r="J12" i="66"/>
  <c r="J19" i="66"/>
  <c r="J18" i="66"/>
  <c r="I11" i="66"/>
  <c r="I6" i="57"/>
  <c r="I7" i="57"/>
  <c r="H7" i="57"/>
  <c r="L8" i="52"/>
  <c r="T7" i="52"/>
  <c r="R7" i="52"/>
  <c r="P7" i="52"/>
  <c r="N7" i="52"/>
  <c r="U7" i="52"/>
  <c r="S7" i="52"/>
  <c r="Q7" i="52"/>
  <c r="O7" i="52"/>
  <c r="M7" i="52"/>
  <c r="R5" i="1"/>
  <c r="T5" i="1"/>
  <c r="S5" i="1"/>
  <c r="I31" i="136" l="1"/>
  <c r="K11" i="136"/>
  <c r="J6" i="57"/>
  <c r="K13" i="66"/>
  <c r="K12" i="66"/>
  <c r="K18" i="66"/>
  <c r="K19" i="66"/>
  <c r="K16" i="66"/>
  <c r="K11" i="66"/>
  <c r="I31" i="66"/>
  <c r="K64" i="66"/>
  <c r="K73" i="66" s="1"/>
  <c r="J31" i="66"/>
  <c r="K10" i="66"/>
  <c r="J7" i="57"/>
  <c r="L9" i="52"/>
  <c r="T8" i="52"/>
  <c r="R8" i="52"/>
  <c r="P8" i="52"/>
  <c r="N8" i="52"/>
  <c r="U8" i="52"/>
  <c r="S8" i="52"/>
  <c r="Q8" i="52"/>
  <c r="O8" i="52"/>
  <c r="M8" i="52"/>
  <c r="U5" i="1"/>
  <c r="J10" i="136" l="1"/>
  <c r="K10" i="136" s="1"/>
  <c r="K31" i="136" s="1"/>
  <c r="K63" i="136" s="1"/>
  <c r="K65" i="136" s="1"/>
  <c r="K70" i="136" s="1"/>
  <c r="K31" i="66"/>
  <c r="K63" i="66" s="1"/>
  <c r="K65" i="66" s="1"/>
  <c r="K70" i="66" s="1"/>
  <c r="K72" i="66" s="1"/>
  <c r="I4" i="57"/>
  <c r="J4" i="57" s="1"/>
  <c r="I3" i="57"/>
  <c r="J3" i="57" s="1"/>
  <c r="L10" i="52"/>
  <c r="T9" i="52"/>
  <c r="R9" i="52"/>
  <c r="P9" i="52"/>
  <c r="N9" i="52"/>
  <c r="U9" i="52"/>
  <c r="S9" i="52"/>
  <c r="Q9" i="52"/>
  <c r="O9" i="52"/>
  <c r="M9" i="52"/>
  <c r="J31" i="136" l="1"/>
  <c r="L11" i="52"/>
  <c r="T10" i="52"/>
  <c r="R10" i="52"/>
  <c r="P10" i="52"/>
  <c r="N10" i="52"/>
  <c r="U10" i="52"/>
  <c r="S10" i="52"/>
  <c r="Q10" i="52"/>
  <c r="O10" i="52"/>
  <c r="M10" i="52"/>
  <c r="L12" i="52" l="1"/>
  <c r="T11" i="52"/>
  <c r="R11" i="52"/>
  <c r="P11" i="52"/>
  <c r="N11" i="52"/>
  <c r="U11" i="52"/>
  <c r="S11" i="52"/>
  <c r="Q11" i="52"/>
  <c r="O11" i="52"/>
  <c r="M11" i="52"/>
  <c r="L13" i="52" l="1"/>
  <c r="T12" i="52"/>
  <c r="R12" i="52"/>
  <c r="P12" i="52"/>
  <c r="N12" i="52"/>
  <c r="U12" i="52"/>
  <c r="S12" i="52"/>
  <c r="Q12" i="52"/>
  <c r="O12" i="52"/>
  <c r="M12" i="52"/>
  <c r="L14" i="52" l="1"/>
  <c r="T13" i="52"/>
  <c r="R13" i="52"/>
  <c r="P13" i="52"/>
  <c r="N13" i="52"/>
  <c r="U13" i="52"/>
  <c r="S13" i="52"/>
  <c r="Q13" i="52"/>
  <c r="O13" i="52"/>
  <c r="M13" i="52"/>
  <c r="L15" i="52" l="1"/>
  <c r="T14" i="52"/>
  <c r="R14" i="52"/>
  <c r="P14" i="52"/>
  <c r="N14" i="52"/>
  <c r="U14" i="52"/>
  <c r="S14" i="52"/>
  <c r="Q14" i="52"/>
  <c r="O14" i="52"/>
  <c r="M14" i="52"/>
  <c r="L16" i="52" l="1"/>
  <c r="T15" i="52"/>
  <c r="R15" i="52"/>
  <c r="P15" i="52"/>
  <c r="N15" i="52"/>
  <c r="U15" i="52"/>
  <c r="S15" i="52"/>
  <c r="Q15" i="52"/>
  <c r="O15" i="52"/>
  <c r="M15" i="52"/>
  <c r="L17" i="52" l="1"/>
  <c r="T16" i="52"/>
  <c r="R16" i="52"/>
  <c r="P16" i="52"/>
  <c r="N16" i="52"/>
  <c r="U16" i="52"/>
  <c r="S16" i="52"/>
  <c r="Q16" i="52"/>
  <c r="O16" i="52"/>
  <c r="M16" i="52"/>
  <c r="L18" i="52" l="1"/>
  <c r="T17" i="52"/>
  <c r="R17" i="52"/>
  <c r="P17" i="52"/>
  <c r="N17" i="52"/>
  <c r="U17" i="52"/>
  <c r="S17" i="52"/>
  <c r="Q17" i="52"/>
  <c r="O17" i="52"/>
  <c r="M17" i="52"/>
  <c r="L19" i="52" l="1"/>
  <c r="T18" i="52"/>
  <c r="R18" i="52"/>
  <c r="P18" i="52"/>
  <c r="N18" i="52"/>
  <c r="U18" i="52"/>
  <c r="S18" i="52"/>
  <c r="Q18" i="52"/>
  <c r="O18" i="52"/>
  <c r="M18" i="52"/>
  <c r="L20" i="52" l="1"/>
  <c r="T19" i="52"/>
  <c r="R19" i="52"/>
  <c r="P19" i="52"/>
  <c r="N19" i="52"/>
  <c r="U19" i="52"/>
  <c r="S19" i="52"/>
  <c r="Q19" i="52"/>
  <c r="O19" i="52"/>
  <c r="M19" i="52"/>
  <c r="L21" i="52" l="1"/>
  <c r="T20" i="52"/>
  <c r="R20" i="52"/>
  <c r="P20" i="52"/>
  <c r="N20" i="52"/>
  <c r="U20" i="52"/>
  <c r="S20" i="52"/>
  <c r="Q20" i="52"/>
  <c r="O20" i="52"/>
  <c r="M20" i="52"/>
  <c r="T21" i="52" l="1"/>
  <c r="R21" i="52"/>
  <c r="P21" i="52"/>
  <c r="N21" i="52"/>
  <c r="U21" i="52"/>
  <c r="S21" i="52"/>
  <c r="Q21" i="52"/>
  <c r="O21" i="52"/>
  <c r="M21" i="52"/>
</calcChain>
</file>

<file path=xl/comments1.xml><?xml version="1.0" encoding="utf-8"?>
<comments xmlns="http://schemas.openxmlformats.org/spreadsheetml/2006/main">
  <authors>
    <author>Roger Wilson</author>
  </authors>
  <commentList>
    <comment ref="D4" authorId="0" shapeId="0">
      <text>
        <r>
          <rPr>
            <b/>
            <sz val="8"/>
            <color indexed="81"/>
            <rFont val="Tahoma"/>
            <family val="2"/>
          </rPr>
          <t>Roger Wilson:</t>
        </r>
        <r>
          <rPr>
            <sz val="8"/>
            <color indexed="81"/>
            <rFont val="Tahoma"/>
            <family val="2"/>
          </rPr>
          <t xml:space="preserve">
Original $252571</t>
        </r>
      </text>
    </comment>
  </commentList>
</comments>
</file>

<file path=xl/comments2.xml><?xml version="1.0" encoding="utf-8"?>
<comments xmlns="http://schemas.openxmlformats.org/spreadsheetml/2006/main">
  <authors>
    <author>Roger Wilson</author>
  </authors>
  <commentList>
    <comment ref="E49" authorId="0" shapeId="0">
      <text>
        <r>
          <rPr>
            <b/>
            <sz val="8"/>
            <color indexed="81"/>
            <rFont val="Tahoma"/>
            <family val="2"/>
          </rPr>
          <t>Roger Wilson:</t>
        </r>
        <r>
          <rPr>
            <sz val="8"/>
            <color indexed="81"/>
            <rFont val="Tahoma"/>
            <family val="2"/>
          </rPr>
          <t xml:space="preserve">
Original $101,955
</t>
        </r>
      </text>
    </comment>
    <comment ref="E50" authorId="0" shapeId="0">
      <text>
        <r>
          <rPr>
            <b/>
            <sz val="8"/>
            <color indexed="81"/>
            <rFont val="Tahoma"/>
            <family val="2"/>
          </rPr>
          <t>Roger Wilson:</t>
        </r>
        <r>
          <rPr>
            <sz val="8"/>
            <color indexed="81"/>
            <rFont val="Tahoma"/>
            <family val="2"/>
          </rPr>
          <t xml:space="preserve">
Original $101,955
</t>
        </r>
      </text>
    </comment>
    <comment ref="E57" authorId="0" shapeId="0">
      <text>
        <r>
          <rPr>
            <b/>
            <sz val="8"/>
            <color indexed="81"/>
            <rFont val="Tahoma"/>
            <family val="2"/>
          </rPr>
          <t>Roger Wilson:</t>
        </r>
        <r>
          <rPr>
            <sz val="8"/>
            <color indexed="81"/>
            <rFont val="Tahoma"/>
            <family val="2"/>
          </rPr>
          <t xml:space="preserve">
List from Web 20,553</t>
        </r>
      </text>
    </comment>
    <comment ref="E60" authorId="0" shapeId="0">
      <text>
        <r>
          <rPr>
            <b/>
            <sz val="8"/>
            <color indexed="81"/>
            <rFont val="Tahoma"/>
            <family val="2"/>
          </rPr>
          <t>Roger Wilson:</t>
        </r>
        <r>
          <rPr>
            <sz val="8"/>
            <color indexed="81"/>
            <rFont val="Tahoma"/>
            <family val="2"/>
          </rPr>
          <t xml:space="preserve">
List from Web 20,553</t>
        </r>
      </text>
    </comment>
  </commentList>
</comments>
</file>

<file path=xl/sharedStrings.xml><?xml version="1.0" encoding="utf-8"?>
<sst xmlns="http://schemas.openxmlformats.org/spreadsheetml/2006/main" count="1645" uniqueCount="616">
  <si>
    <t>Op Name</t>
  </si>
  <si>
    <t>Times or Qty</t>
  </si>
  <si>
    <t>Total</t>
  </si>
  <si>
    <t>Custom</t>
  </si>
  <si>
    <t>Material</t>
  </si>
  <si>
    <t>Category</t>
  </si>
  <si>
    <t>10-34-0</t>
  </si>
  <si>
    <t>Fertilizer</t>
  </si>
  <si>
    <t>10-34-0-1Z</t>
  </si>
  <si>
    <t>11-52-0</t>
  </si>
  <si>
    <t>2,4-D Amine</t>
  </si>
  <si>
    <t>Herbicide</t>
  </si>
  <si>
    <t>2,4-D Ester 4#</t>
  </si>
  <si>
    <t>28-0-0</t>
  </si>
  <si>
    <t>46-0-0</t>
  </si>
  <si>
    <t>82-0-0</t>
  </si>
  <si>
    <t>AAtrex 4L</t>
  </si>
  <si>
    <t>Aerial Spray</t>
  </si>
  <si>
    <t>Alfalfa w/Inoculant</t>
  </si>
  <si>
    <t>Seed</t>
  </si>
  <si>
    <t>Bicep II Magnum</t>
  </si>
  <si>
    <t>Insecticide</t>
  </si>
  <si>
    <t>Chop, Haul, Pack</t>
  </si>
  <si>
    <t>Corn</t>
  </si>
  <si>
    <t>Corn Bt ECB</t>
  </si>
  <si>
    <t>Corn Bt ECB&amp;RW</t>
  </si>
  <si>
    <t>Crop Oil Concentrate</t>
  </si>
  <si>
    <t>Dicamba</t>
  </si>
  <si>
    <t>Edible Beans</t>
  </si>
  <si>
    <t>Other</t>
  </si>
  <si>
    <t>Expert</t>
  </si>
  <si>
    <t>Fence/water repairs</t>
  </si>
  <si>
    <t>Glyphosate w/Surf</t>
  </si>
  <si>
    <t>Grass Drill</t>
  </si>
  <si>
    <t>Rental</t>
  </si>
  <si>
    <t>Grass Seed</t>
  </si>
  <si>
    <t>Haul &amp; Apply Manure</t>
  </si>
  <si>
    <t>Haul Beets</t>
  </si>
  <si>
    <t>Haul Grain bu</t>
  </si>
  <si>
    <t>Fungicide</t>
  </si>
  <si>
    <t>Landmaster BW</t>
  </si>
  <si>
    <t>Lorsban 15 G</t>
  </si>
  <si>
    <t>Lorsban 4 E</t>
  </si>
  <si>
    <t>Millet</t>
  </si>
  <si>
    <t>Move Cattle</t>
  </si>
  <si>
    <t>NIS</t>
  </si>
  <si>
    <t>Oats</t>
  </si>
  <si>
    <t>Peak</t>
  </si>
  <si>
    <t xml:space="preserve">Pursuit </t>
  </si>
  <si>
    <t>Regent 4 SC</t>
  </si>
  <si>
    <t>RR Soybeans</t>
  </si>
  <si>
    <t>Seeder-Packer</t>
  </si>
  <si>
    <t>Select Max</t>
  </si>
  <si>
    <t>Sorghum Safened/Insect</t>
  </si>
  <si>
    <t>Sorghum Sudan</t>
  </si>
  <si>
    <t>Spirit</t>
  </si>
  <si>
    <t>Spray</t>
  </si>
  <si>
    <t>Sugar Beets RR Poncho</t>
  </si>
  <si>
    <t>Sunflower</t>
  </si>
  <si>
    <t>Tilt</t>
  </si>
  <si>
    <t>Twine Lg Rd</t>
  </si>
  <si>
    <t>Twine Lg Sq</t>
  </si>
  <si>
    <t>Twine Sm Sq</t>
  </si>
  <si>
    <t>Uncomposted manure</t>
  </si>
  <si>
    <t>ton</t>
  </si>
  <si>
    <t>Ton</t>
  </si>
  <si>
    <t>Purchase Price</t>
  </si>
  <si>
    <t>Purchase Unit</t>
  </si>
  <si>
    <t>Applied Unit</t>
  </si>
  <si>
    <t>Applied Price</t>
  </si>
  <si>
    <t>Applied Units / Purchased Units</t>
  </si>
  <si>
    <t>acre</t>
  </si>
  <si>
    <t>bale</t>
  </si>
  <si>
    <t>cwt</t>
  </si>
  <si>
    <t>lb N</t>
  </si>
  <si>
    <t>circle</t>
  </si>
  <si>
    <t>bag</t>
  </si>
  <si>
    <t>Unit</t>
  </si>
  <si>
    <t>System</t>
  </si>
  <si>
    <t>Yield</t>
  </si>
  <si>
    <t>Field Operations</t>
  </si>
  <si>
    <t>Repairs</t>
  </si>
  <si>
    <t>Power</t>
  </si>
  <si>
    <t>Total for Field Operations</t>
  </si>
  <si>
    <t>Imp.</t>
  </si>
  <si>
    <t>Water Source</t>
  </si>
  <si>
    <t>Water Applied</t>
  </si>
  <si>
    <t>Wage Rate</t>
  </si>
  <si>
    <t>Diesel Price</t>
  </si>
  <si>
    <t>Elect. Price</t>
  </si>
  <si>
    <t>/ Hr</t>
  </si>
  <si>
    <t>/ kwh</t>
  </si>
  <si>
    <t>/ gal.</t>
  </si>
  <si>
    <t>Materials &amp; Services</t>
  </si>
  <si>
    <t>Percent Acres Applied</t>
  </si>
  <si>
    <t xml:space="preserve">Total </t>
  </si>
  <si>
    <t>Total Materials &amp; Services</t>
  </si>
  <si>
    <t>Operation Index</t>
  </si>
  <si>
    <t xml:space="preserve">Application </t>
  </si>
  <si>
    <t>Rate</t>
  </si>
  <si>
    <t>Total listed costs for Field Operations and Materials &amp; Services</t>
  </si>
  <si>
    <t>Fall Establishment</t>
  </si>
  <si>
    <t>Large Square</t>
  </si>
  <si>
    <t>Canal Irrigated</t>
  </si>
  <si>
    <t>List Price</t>
  </si>
  <si>
    <t>Age</t>
  </si>
  <si>
    <t>Investment Interest Rate</t>
  </si>
  <si>
    <t>Repair Category</t>
  </si>
  <si>
    <t>Depreciation Category</t>
  </si>
  <si>
    <t>Name</t>
  </si>
  <si>
    <t>Labor Factor</t>
  </si>
  <si>
    <t>Machine</t>
  </si>
  <si>
    <t>Catogory</t>
  </si>
  <si>
    <t>RF1</t>
  </si>
  <si>
    <t>RF2</t>
  </si>
  <si>
    <t>Estimated Life</t>
  </si>
  <si>
    <t>2 wheel drive &amp; stationary tractor</t>
  </si>
  <si>
    <r>
      <t xml:space="preserve"> </t>
    </r>
    <r>
      <rPr>
        <sz val="12"/>
        <color indexed="63"/>
        <rFont val="Calibri"/>
        <family val="2"/>
        <scheme val="minor"/>
      </rPr>
      <t>TRACTORS</t>
    </r>
    <r>
      <rPr>
        <sz val="12"/>
        <rFont val="Calibri"/>
        <family val="2"/>
        <scheme val="minor"/>
      </rPr>
      <t xml:space="preserve"> </t>
    </r>
  </si>
  <si>
    <r>
      <t xml:space="preserve"> </t>
    </r>
    <r>
      <rPr>
        <sz val="12"/>
        <color indexed="63"/>
        <rFont val="Calibri"/>
        <family val="2"/>
        <scheme val="minor"/>
      </rPr>
      <t>0.007</t>
    </r>
    <r>
      <rPr>
        <sz val="12"/>
        <rFont val="Calibri"/>
        <family val="2"/>
        <scheme val="minor"/>
      </rPr>
      <t xml:space="preserve"> </t>
    </r>
  </si>
  <si>
    <r>
      <t xml:space="preserve"> </t>
    </r>
    <r>
      <rPr>
        <sz val="12"/>
        <color indexed="63"/>
        <rFont val="Calibri"/>
        <family val="2"/>
        <scheme val="minor"/>
      </rPr>
      <t>2.0</t>
    </r>
    <r>
      <rPr>
        <sz val="12"/>
        <rFont val="Calibri"/>
        <family val="2"/>
        <scheme val="minor"/>
      </rPr>
      <t xml:space="preserve"> </t>
    </r>
  </si>
  <si>
    <r>
      <rPr>
        <sz val="12"/>
        <color indexed="63"/>
        <rFont val="Calibri"/>
        <family val="2"/>
        <scheme val="minor"/>
      </rPr>
      <t>4 wheel drive &amp; crawler</t>
    </r>
    <r>
      <rPr>
        <sz val="12"/>
        <rFont val="Calibri"/>
        <family val="2"/>
        <scheme val="minor"/>
      </rPr>
      <t xml:space="preserve"> </t>
    </r>
  </si>
  <si>
    <r>
      <t xml:space="preserve"> </t>
    </r>
    <r>
      <rPr>
        <sz val="12"/>
        <color indexed="63"/>
        <rFont val="Calibri"/>
        <family val="2"/>
        <scheme val="minor"/>
      </rPr>
      <t>0.003</t>
    </r>
    <r>
      <rPr>
        <sz val="12"/>
        <rFont val="Calibri"/>
        <family val="2"/>
        <scheme val="minor"/>
      </rPr>
      <t xml:space="preserve"> </t>
    </r>
  </si>
  <si>
    <r>
      <rPr>
        <sz val="12"/>
        <color indexed="63"/>
        <rFont val="Calibri"/>
        <family val="2"/>
        <scheme val="minor"/>
      </rPr>
      <t>Baler</t>
    </r>
    <r>
      <rPr>
        <sz val="12"/>
        <rFont val="Calibri"/>
        <family val="2"/>
        <scheme val="minor"/>
      </rPr>
      <t xml:space="preserve"> - Large rectangular </t>
    </r>
  </si>
  <si>
    <r>
      <t xml:space="preserve"> </t>
    </r>
    <r>
      <rPr>
        <sz val="12"/>
        <color indexed="63"/>
        <rFont val="Calibri"/>
        <family val="2"/>
        <scheme val="minor"/>
      </rPr>
      <t>HARVESTING</t>
    </r>
    <r>
      <rPr>
        <sz val="12"/>
        <rFont val="Calibri"/>
        <family val="2"/>
        <scheme val="minor"/>
      </rPr>
      <t xml:space="preserve"> </t>
    </r>
  </si>
  <si>
    <r>
      <t xml:space="preserve"> </t>
    </r>
    <r>
      <rPr>
        <sz val="12"/>
        <color indexed="63"/>
        <rFont val="Calibri"/>
        <family val="2"/>
        <scheme val="minor"/>
      </rPr>
      <t>0.10</t>
    </r>
    <r>
      <rPr>
        <sz val="12"/>
        <rFont val="Calibri"/>
        <family val="2"/>
        <scheme val="minor"/>
      </rPr>
      <t xml:space="preserve"> </t>
    </r>
  </si>
  <si>
    <r>
      <t xml:space="preserve"> </t>
    </r>
    <r>
      <rPr>
        <sz val="12"/>
        <color indexed="63"/>
        <rFont val="Calibri"/>
        <family val="2"/>
        <scheme val="minor"/>
      </rPr>
      <t>1.8</t>
    </r>
    <r>
      <rPr>
        <sz val="12"/>
        <rFont val="Calibri"/>
        <family val="2"/>
        <scheme val="minor"/>
      </rPr>
      <t xml:space="preserve"> </t>
    </r>
  </si>
  <si>
    <r>
      <rPr>
        <sz val="12"/>
        <color indexed="63"/>
        <rFont val="Calibri"/>
        <family val="2"/>
        <scheme val="minor"/>
      </rPr>
      <t>Baler</t>
    </r>
    <r>
      <rPr>
        <sz val="12"/>
        <rFont val="Calibri"/>
        <family val="2"/>
        <scheme val="minor"/>
      </rPr>
      <t xml:space="preserve"> - Large round </t>
    </r>
  </si>
  <si>
    <r>
      <t xml:space="preserve"> </t>
    </r>
    <r>
      <rPr>
        <sz val="12"/>
        <color indexed="63"/>
        <rFont val="Calibri"/>
        <family val="2"/>
        <scheme val="minor"/>
      </rPr>
      <t>0.43</t>
    </r>
    <r>
      <rPr>
        <sz val="12"/>
        <rFont val="Calibri"/>
        <family val="2"/>
        <scheme val="minor"/>
      </rPr>
      <t xml:space="preserve"> </t>
    </r>
  </si>
  <si>
    <r>
      <rPr>
        <sz val="12"/>
        <color indexed="63"/>
        <rFont val="Calibri"/>
        <family val="2"/>
        <scheme val="minor"/>
      </rPr>
      <t>Baler</t>
    </r>
    <r>
      <rPr>
        <sz val="12"/>
        <rFont val="Calibri"/>
        <family val="2"/>
        <scheme val="minor"/>
      </rPr>
      <t xml:space="preserve"> - Rectangular </t>
    </r>
  </si>
  <si>
    <r>
      <t xml:space="preserve"> </t>
    </r>
    <r>
      <rPr>
        <sz val="12"/>
        <color indexed="63"/>
        <rFont val="Calibri"/>
        <family val="2"/>
        <scheme val="minor"/>
      </rPr>
      <t>0.23</t>
    </r>
    <r>
      <rPr>
        <sz val="12"/>
        <rFont val="Calibri"/>
        <family val="2"/>
        <scheme val="minor"/>
      </rPr>
      <t xml:space="preserve"> </t>
    </r>
  </si>
  <si>
    <r>
      <rPr>
        <sz val="12"/>
        <color indexed="63"/>
        <rFont val="Calibri"/>
        <family val="2"/>
        <scheme val="minor"/>
      </rPr>
      <t>Bean puller-windrower</t>
    </r>
    <r>
      <rPr>
        <sz val="12"/>
        <rFont val="Calibri"/>
        <family val="2"/>
        <scheme val="minor"/>
      </rPr>
      <t xml:space="preserve"> </t>
    </r>
  </si>
  <si>
    <r>
      <t xml:space="preserve"> </t>
    </r>
    <r>
      <rPr>
        <sz val="12"/>
        <color indexed="63"/>
        <rFont val="Calibri"/>
        <family val="2"/>
        <scheme val="minor"/>
      </rPr>
      <t>MISCELLANEOUS</t>
    </r>
    <r>
      <rPr>
        <sz val="12"/>
        <rFont val="Calibri"/>
        <family val="2"/>
        <scheme val="minor"/>
      </rPr>
      <t xml:space="preserve"> </t>
    </r>
  </si>
  <si>
    <r>
      <t xml:space="preserve"> </t>
    </r>
    <r>
      <rPr>
        <sz val="12"/>
        <color indexed="63"/>
        <rFont val="Calibri"/>
        <family val="2"/>
        <scheme val="minor"/>
      </rPr>
      <t>0.20</t>
    </r>
    <r>
      <rPr>
        <sz val="12"/>
        <rFont val="Calibri"/>
        <family val="2"/>
        <scheme val="minor"/>
      </rPr>
      <t xml:space="preserve"> </t>
    </r>
  </si>
  <si>
    <r>
      <t xml:space="preserve"> </t>
    </r>
    <r>
      <rPr>
        <sz val="12"/>
        <color indexed="63"/>
        <rFont val="Calibri"/>
        <family val="2"/>
        <scheme val="minor"/>
      </rPr>
      <t>1.6</t>
    </r>
    <r>
      <rPr>
        <sz val="12"/>
        <rFont val="Calibri"/>
        <family val="2"/>
        <scheme val="minor"/>
      </rPr>
      <t xml:space="preserve"> </t>
    </r>
  </si>
  <si>
    <r>
      <rPr>
        <sz val="12"/>
        <color indexed="63"/>
        <rFont val="Calibri"/>
        <family val="2"/>
        <scheme val="minor"/>
      </rPr>
      <t>Beet topper</t>
    </r>
    <r>
      <rPr>
        <sz val="12"/>
        <rFont val="Calibri"/>
        <family val="2"/>
        <scheme val="minor"/>
      </rPr>
      <t xml:space="preserve"> </t>
    </r>
  </si>
  <si>
    <r>
      <t xml:space="preserve"> </t>
    </r>
    <r>
      <rPr>
        <sz val="12"/>
        <color indexed="63"/>
        <rFont val="Calibri"/>
        <family val="2"/>
        <scheme val="minor"/>
      </rPr>
      <t>0.28</t>
    </r>
    <r>
      <rPr>
        <sz val="12"/>
        <rFont val="Calibri"/>
        <family val="2"/>
        <scheme val="minor"/>
      </rPr>
      <t xml:space="preserve"> </t>
    </r>
  </si>
  <si>
    <r>
      <t xml:space="preserve"> </t>
    </r>
    <r>
      <rPr>
        <sz val="12"/>
        <color indexed="63"/>
        <rFont val="Calibri"/>
        <family val="2"/>
        <scheme val="minor"/>
      </rPr>
      <t>1.4</t>
    </r>
    <r>
      <rPr>
        <sz val="12"/>
        <rFont val="Calibri"/>
        <family val="2"/>
        <scheme val="minor"/>
      </rPr>
      <t xml:space="preserve"> </t>
    </r>
  </si>
  <si>
    <r>
      <rPr>
        <sz val="12"/>
        <color indexed="63"/>
        <rFont val="Calibri"/>
        <family val="2"/>
        <scheme val="minor"/>
      </rPr>
      <t>Chisel plow</t>
    </r>
    <r>
      <rPr>
        <sz val="12"/>
        <rFont val="Calibri"/>
        <family val="2"/>
        <scheme val="minor"/>
      </rPr>
      <t xml:space="preserve"> (Coulter)</t>
    </r>
  </si>
  <si>
    <r>
      <t xml:space="preserve"> </t>
    </r>
    <r>
      <rPr>
        <sz val="12"/>
        <color indexed="63"/>
        <rFont val="Calibri"/>
        <family val="2"/>
        <scheme val="minor"/>
      </rPr>
      <t>TILLAGE&amp;PLANTING</t>
    </r>
    <r>
      <rPr>
        <sz val="12"/>
        <rFont val="Calibri"/>
        <family val="2"/>
        <scheme val="minor"/>
      </rPr>
      <t xml:space="preserve"> </t>
    </r>
  </si>
  <si>
    <r>
      <rPr>
        <sz val="12"/>
        <color indexed="63"/>
        <rFont val="Calibri"/>
        <family val="2"/>
        <scheme val="minor"/>
      </rPr>
      <t>Combine</t>
    </r>
    <r>
      <rPr>
        <sz val="12"/>
        <rFont val="Calibri"/>
        <family val="2"/>
        <scheme val="minor"/>
      </rPr>
      <t xml:space="preserve"> </t>
    </r>
  </si>
  <si>
    <r>
      <t xml:space="preserve"> </t>
    </r>
    <r>
      <rPr>
        <sz val="12"/>
        <color indexed="63"/>
        <rFont val="Calibri"/>
        <family val="2"/>
        <scheme val="minor"/>
      </rPr>
      <t>0.12</t>
    </r>
    <r>
      <rPr>
        <sz val="12"/>
        <rFont val="Calibri"/>
        <family val="2"/>
        <scheme val="minor"/>
      </rPr>
      <t xml:space="preserve"> </t>
    </r>
  </si>
  <si>
    <r>
      <t xml:space="preserve"> </t>
    </r>
    <r>
      <rPr>
        <sz val="12"/>
        <color indexed="63"/>
        <rFont val="Calibri"/>
        <family val="2"/>
        <scheme val="minor"/>
      </rPr>
      <t>2.3</t>
    </r>
    <r>
      <rPr>
        <sz val="12"/>
        <rFont val="Calibri"/>
        <family val="2"/>
        <scheme val="minor"/>
      </rPr>
      <t xml:space="preserve"> </t>
    </r>
  </si>
  <si>
    <r>
      <rPr>
        <sz val="12"/>
        <color indexed="63"/>
        <rFont val="Calibri"/>
        <family val="2"/>
        <scheme val="minor"/>
      </rPr>
      <t>Combine(SP)</t>
    </r>
    <r>
      <rPr>
        <sz val="12"/>
        <rFont val="Calibri"/>
        <family val="2"/>
        <scheme val="minor"/>
      </rPr>
      <t xml:space="preserve"> </t>
    </r>
  </si>
  <si>
    <r>
      <t xml:space="preserve"> </t>
    </r>
    <r>
      <rPr>
        <sz val="12"/>
        <color indexed="63"/>
        <rFont val="Calibri"/>
        <family val="2"/>
        <scheme val="minor"/>
      </rPr>
      <t>0.04</t>
    </r>
    <r>
      <rPr>
        <sz val="12"/>
        <rFont val="Calibri"/>
        <family val="2"/>
        <scheme val="minor"/>
      </rPr>
      <t xml:space="preserve"> </t>
    </r>
  </si>
  <si>
    <r>
      <t xml:space="preserve"> </t>
    </r>
    <r>
      <rPr>
        <sz val="12"/>
        <color indexed="63"/>
        <rFont val="Calibri"/>
        <family val="2"/>
        <scheme val="minor"/>
      </rPr>
      <t>2.1</t>
    </r>
    <r>
      <rPr>
        <sz val="12"/>
        <rFont val="Calibri"/>
        <family val="2"/>
        <scheme val="minor"/>
      </rPr>
      <t xml:space="preserve"> </t>
    </r>
  </si>
  <si>
    <r>
      <rPr>
        <sz val="12"/>
        <color indexed="63"/>
        <rFont val="Calibri"/>
        <family val="2"/>
        <scheme val="minor"/>
      </rPr>
      <t>Corn picker-sheller</t>
    </r>
    <r>
      <rPr>
        <sz val="12"/>
        <rFont val="Calibri"/>
        <family val="2"/>
        <scheme val="minor"/>
      </rPr>
      <t xml:space="preserve"> </t>
    </r>
  </si>
  <si>
    <r>
      <t xml:space="preserve"> </t>
    </r>
    <r>
      <rPr>
        <sz val="12"/>
        <color indexed="63"/>
        <rFont val="Calibri"/>
        <family val="2"/>
        <scheme val="minor"/>
      </rPr>
      <t>0.14</t>
    </r>
    <r>
      <rPr>
        <sz val="12"/>
        <rFont val="Calibri"/>
        <family val="2"/>
        <scheme val="minor"/>
      </rPr>
      <t xml:space="preserve"> </t>
    </r>
  </si>
  <si>
    <r>
      <rPr>
        <sz val="12"/>
        <color indexed="63"/>
        <rFont val="Calibri"/>
        <family val="2"/>
        <scheme val="minor"/>
      </rPr>
      <t>Cotton picker(SP)</t>
    </r>
    <r>
      <rPr>
        <sz val="12"/>
        <rFont val="Calibri"/>
        <family val="2"/>
        <scheme val="minor"/>
      </rPr>
      <t xml:space="preserve"> </t>
    </r>
  </si>
  <si>
    <r>
      <t xml:space="preserve"> </t>
    </r>
    <r>
      <rPr>
        <sz val="12"/>
        <color indexed="63"/>
        <rFont val="Calibri"/>
        <family val="2"/>
        <scheme val="minor"/>
      </rPr>
      <t>0.11</t>
    </r>
    <r>
      <rPr>
        <sz val="12"/>
        <rFont val="Calibri"/>
        <family val="2"/>
        <scheme val="minor"/>
      </rPr>
      <t xml:space="preserve"> </t>
    </r>
  </si>
  <si>
    <r>
      <rPr>
        <sz val="12"/>
        <color indexed="63"/>
        <rFont val="Calibri"/>
        <family val="2"/>
        <scheme val="minor"/>
      </rPr>
      <t>Cultivator</t>
    </r>
    <r>
      <rPr>
        <sz val="12"/>
        <rFont val="Calibri"/>
        <family val="2"/>
        <scheme val="minor"/>
      </rPr>
      <t xml:space="preserve"> - Field </t>
    </r>
  </si>
  <si>
    <r>
      <t xml:space="preserve"> </t>
    </r>
    <r>
      <rPr>
        <sz val="12"/>
        <color indexed="63"/>
        <rFont val="Calibri"/>
        <family val="2"/>
        <scheme val="minor"/>
      </rPr>
      <t>0.27</t>
    </r>
    <r>
      <rPr>
        <sz val="12"/>
        <rFont val="Calibri"/>
        <family val="2"/>
        <scheme val="minor"/>
      </rPr>
      <t xml:space="preserve"> </t>
    </r>
  </si>
  <si>
    <r>
      <rPr>
        <sz val="12"/>
        <color indexed="63"/>
        <rFont val="Calibri"/>
        <family val="2"/>
        <scheme val="minor"/>
      </rPr>
      <t>Cultivator</t>
    </r>
    <r>
      <rPr>
        <sz val="12"/>
        <rFont val="Calibri"/>
        <family val="2"/>
        <scheme val="minor"/>
      </rPr>
      <t xml:space="preserve"> - Row crop </t>
    </r>
  </si>
  <si>
    <r>
      <t xml:space="preserve"> </t>
    </r>
    <r>
      <rPr>
        <sz val="12"/>
        <color indexed="63"/>
        <rFont val="Calibri"/>
        <family val="2"/>
        <scheme val="minor"/>
      </rPr>
      <t>0.17</t>
    </r>
    <r>
      <rPr>
        <sz val="12"/>
        <rFont val="Calibri"/>
        <family val="2"/>
        <scheme val="minor"/>
      </rPr>
      <t xml:space="preserve"> </t>
    </r>
  </si>
  <si>
    <r>
      <t xml:space="preserve"> </t>
    </r>
    <r>
      <rPr>
        <sz val="12"/>
        <color indexed="63"/>
        <rFont val="Calibri"/>
        <family val="2"/>
        <scheme val="minor"/>
      </rPr>
      <t>2.2</t>
    </r>
    <r>
      <rPr>
        <sz val="12"/>
        <rFont val="Calibri"/>
        <family val="2"/>
        <scheme val="minor"/>
      </rPr>
      <t xml:space="preserve"> </t>
    </r>
  </si>
  <si>
    <r>
      <rPr>
        <sz val="12"/>
        <color indexed="63"/>
        <rFont val="Calibri"/>
        <family val="2"/>
        <scheme val="minor"/>
      </rPr>
      <t>Disk</t>
    </r>
    <r>
      <rPr>
        <sz val="12"/>
        <rFont val="Calibri"/>
        <family val="2"/>
        <scheme val="minor"/>
      </rPr>
      <t xml:space="preserve"> - Heavy-duty </t>
    </r>
  </si>
  <si>
    <r>
      <t xml:space="preserve"> </t>
    </r>
    <r>
      <rPr>
        <sz val="12"/>
        <color indexed="63"/>
        <rFont val="Calibri"/>
        <family val="2"/>
        <scheme val="minor"/>
      </rPr>
      <t>0.18</t>
    </r>
    <r>
      <rPr>
        <sz val="12"/>
        <rFont val="Calibri"/>
        <family val="2"/>
        <scheme val="minor"/>
      </rPr>
      <t xml:space="preserve"> </t>
    </r>
  </si>
  <si>
    <r>
      <t xml:space="preserve"> </t>
    </r>
    <r>
      <rPr>
        <sz val="12"/>
        <color indexed="63"/>
        <rFont val="Calibri"/>
        <family val="2"/>
        <scheme val="minor"/>
      </rPr>
      <t>1.7</t>
    </r>
    <r>
      <rPr>
        <sz val="12"/>
        <rFont val="Calibri"/>
        <family val="2"/>
        <scheme val="minor"/>
      </rPr>
      <t xml:space="preserve"> </t>
    </r>
  </si>
  <si>
    <r>
      <rPr>
        <sz val="12"/>
        <color indexed="63"/>
        <rFont val="Calibri"/>
        <family val="2"/>
        <scheme val="minor"/>
      </rPr>
      <t>Diskharrow</t>
    </r>
    <r>
      <rPr>
        <sz val="12"/>
        <rFont val="Calibri"/>
        <family val="2"/>
        <scheme val="minor"/>
      </rPr>
      <t xml:space="preserve"> - Tandem </t>
    </r>
  </si>
  <si>
    <r>
      <rPr>
        <sz val="12"/>
        <color indexed="63"/>
        <rFont val="Calibri"/>
        <family val="2"/>
        <scheme val="minor"/>
      </rPr>
      <t>Drill</t>
    </r>
    <r>
      <rPr>
        <sz val="12"/>
        <rFont val="Calibri"/>
        <family val="2"/>
        <scheme val="minor"/>
      </rPr>
      <t xml:space="preserve"> - Grain </t>
    </r>
  </si>
  <si>
    <r>
      <t xml:space="preserve"> </t>
    </r>
    <r>
      <rPr>
        <sz val="12"/>
        <color indexed="63"/>
        <rFont val="Calibri"/>
        <family val="2"/>
        <scheme val="minor"/>
      </rPr>
      <t>0.32</t>
    </r>
    <r>
      <rPr>
        <sz val="12"/>
        <rFont val="Calibri"/>
        <family val="2"/>
        <scheme val="minor"/>
      </rPr>
      <t xml:space="preserve"> </t>
    </r>
  </si>
  <si>
    <r>
      <rPr>
        <sz val="12"/>
        <color indexed="63"/>
        <rFont val="Calibri"/>
        <family val="2"/>
        <scheme val="minor"/>
      </rPr>
      <t>Fertilizer spreader</t>
    </r>
    <r>
      <rPr>
        <sz val="12"/>
        <rFont val="Calibri"/>
        <family val="2"/>
        <scheme val="minor"/>
      </rPr>
      <t xml:space="preserve"> </t>
    </r>
  </si>
  <si>
    <r>
      <t xml:space="preserve"> </t>
    </r>
    <r>
      <rPr>
        <sz val="12"/>
        <color indexed="63"/>
        <rFont val="Calibri"/>
        <family val="2"/>
        <scheme val="minor"/>
      </rPr>
      <t>0.63</t>
    </r>
    <r>
      <rPr>
        <sz val="12"/>
        <rFont val="Calibri"/>
        <family val="2"/>
        <scheme val="minor"/>
      </rPr>
      <t xml:space="preserve"> </t>
    </r>
  </si>
  <si>
    <r>
      <t xml:space="preserve"> </t>
    </r>
    <r>
      <rPr>
        <sz val="12"/>
        <color indexed="63"/>
        <rFont val="Calibri"/>
        <family val="2"/>
        <scheme val="minor"/>
      </rPr>
      <t>1.3</t>
    </r>
    <r>
      <rPr>
        <sz val="12"/>
        <rFont val="Calibri"/>
        <family val="2"/>
        <scheme val="minor"/>
      </rPr>
      <t xml:space="preserve"> </t>
    </r>
  </si>
  <si>
    <r>
      <rPr>
        <sz val="12"/>
        <color indexed="63"/>
        <rFont val="Calibri"/>
        <family val="2"/>
        <scheme val="minor"/>
      </rPr>
      <t>Forage blower</t>
    </r>
    <r>
      <rPr>
        <sz val="12"/>
        <rFont val="Calibri"/>
        <family val="2"/>
        <scheme val="minor"/>
      </rPr>
      <t xml:space="preserve"> </t>
    </r>
  </si>
  <si>
    <r>
      <t xml:space="preserve"> </t>
    </r>
    <r>
      <rPr>
        <sz val="12"/>
        <color indexed="63"/>
        <rFont val="Calibri"/>
        <family val="2"/>
        <scheme val="minor"/>
      </rPr>
      <t>0.22</t>
    </r>
    <r>
      <rPr>
        <sz val="12"/>
        <rFont val="Calibri"/>
        <family val="2"/>
        <scheme val="minor"/>
      </rPr>
      <t xml:space="preserve"> </t>
    </r>
  </si>
  <si>
    <r>
      <rPr>
        <sz val="12"/>
        <color indexed="63"/>
        <rFont val="Calibri"/>
        <family val="2"/>
        <scheme val="minor"/>
      </rPr>
      <t>Forage harvester</t>
    </r>
    <r>
      <rPr>
        <sz val="12"/>
        <rFont val="Calibri"/>
        <family val="2"/>
        <scheme val="minor"/>
      </rPr>
      <t xml:space="preserve"> </t>
    </r>
  </si>
  <si>
    <r>
      <t xml:space="preserve"> </t>
    </r>
    <r>
      <rPr>
        <sz val="12"/>
        <color indexed="63"/>
        <rFont val="Calibri"/>
        <family val="2"/>
        <scheme val="minor"/>
      </rPr>
      <t>0.15</t>
    </r>
    <r>
      <rPr>
        <sz val="12"/>
        <rFont val="Calibri"/>
        <family val="2"/>
        <scheme val="minor"/>
      </rPr>
      <t xml:space="preserve"> </t>
    </r>
  </si>
  <si>
    <r>
      <rPr>
        <sz val="12"/>
        <color indexed="63"/>
        <rFont val="Calibri"/>
        <family val="2"/>
        <scheme val="minor"/>
      </rPr>
      <t>Forage harvester(SP)</t>
    </r>
    <r>
      <rPr>
        <sz val="12"/>
        <rFont val="Calibri"/>
        <family val="2"/>
        <scheme val="minor"/>
      </rPr>
      <t xml:space="preserve"> </t>
    </r>
  </si>
  <si>
    <r>
      <t xml:space="preserve"> </t>
    </r>
    <r>
      <rPr>
        <sz val="12"/>
        <color indexed="63"/>
        <rFont val="Calibri"/>
        <family val="2"/>
        <scheme val="minor"/>
      </rPr>
      <t>0.03</t>
    </r>
    <r>
      <rPr>
        <sz val="12"/>
        <rFont val="Calibri"/>
        <family val="2"/>
        <scheme val="minor"/>
      </rPr>
      <t xml:space="preserve"> </t>
    </r>
  </si>
  <si>
    <r>
      <rPr>
        <sz val="12"/>
        <color indexed="63"/>
        <rFont val="Calibri"/>
        <family val="2"/>
        <scheme val="minor"/>
      </rPr>
      <t>Harrow</t>
    </r>
    <r>
      <rPr>
        <sz val="12"/>
        <rFont val="Calibri"/>
        <family val="2"/>
        <scheme val="minor"/>
      </rPr>
      <t xml:space="preserve"> - Spring tooth </t>
    </r>
  </si>
  <si>
    <r>
      <rPr>
        <sz val="12"/>
        <color indexed="63"/>
        <rFont val="Calibri"/>
        <family val="2"/>
        <scheme val="minor"/>
      </rPr>
      <t>Mower</t>
    </r>
    <r>
      <rPr>
        <sz val="12"/>
        <rFont val="Calibri"/>
        <family val="2"/>
        <scheme val="minor"/>
      </rPr>
      <t xml:space="preserve"> </t>
    </r>
  </si>
  <si>
    <r>
      <t xml:space="preserve"> </t>
    </r>
    <r>
      <rPr>
        <sz val="12"/>
        <color indexed="63"/>
        <rFont val="Calibri"/>
        <family val="2"/>
        <scheme val="minor"/>
      </rPr>
      <t>0.46</t>
    </r>
    <r>
      <rPr>
        <sz val="12"/>
        <rFont val="Calibri"/>
        <family val="2"/>
        <scheme val="minor"/>
      </rPr>
      <t xml:space="preserve"> </t>
    </r>
  </si>
  <si>
    <r>
      <rPr>
        <sz val="12"/>
        <color indexed="63"/>
        <rFont val="Calibri"/>
        <family val="2"/>
        <scheme val="minor"/>
      </rPr>
      <t>Mower(rotary)</t>
    </r>
    <r>
      <rPr>
        <sz val="12"/>
        <rFont val="Calibri"/>
        <family val="2"/>
        <scheme val="minor"/>
      </rPr>
      <t xml:space="preserve"> </t>
    </r>
  </si>
  <si>
    <r>
      <t xml:space="preserve"> </t>
    </r>
    <r>
      <rPr>
        <sz val="12"/>
        <color indexed="63"/>
        <rFont val="Calibri"/>
        <family val="2"/>
        <scheme val="minor"/>
      </rPr>
      <t>0.44</t>
    </r>
    <r>
      <rPr>
        <sz val="12"/>
        <rFont val="Calibri"/>
        <family val="2"/>
        <scheme val="minor"/>
      </rPr>
      <t xml:space="preserve"> </t>
    </r>
  </si>
  <si>
    <r>
      <rPr>
        <sz val="12"/>
        <color indexed="63"/>
        <rFont val="Calibri"/>
        <family val="2"/>
        <scheme val="minor"/>
      </rPr>
      <t>Mower-conditioner</t>
    </r>
    <r>
      <rPr>
        <sz val="12"/>
        <rFont val="Calibri"/>
        <family val="2"/>
        <scheme val="minor"/>
      </rPr>
      <t xml:space="preserve"> </t>
    </r>
  </si>
  <si>
    <r>
      <rPr>
        <sz val="12"/>
        <color indexed="63"/>
        <rFont val="Calibri"/>
        <family val="2"/>
        <scheme val="minor"/>
      </rPr>
      <t>Mower-conditioner(rotary)</t>
    </r>
    <r>
      <rPr>
        <sz val="12"/>
        <rFont val="Calibri"/>
        <family val="2"/>
        <scheme val="minor"/>
      </rPr>
      <t xml:space="preserve"> </t>
    </r>
  </si>
  <si>
    <r>
      <t xml:space="preserve"> </t>
    </r>
    <r>
      <rPr>
        <sz val="12"/>
        <color indexed="63"/>
        <rFont val="Calibri"/>
        <family val="2"/>
        <scheme val="minor"/>
      </rPr>
      <t>0.16</t>
    </r>
    <r>
      <rPr>
        <sz val="12"/>
        <rFont val="Calibri"/>
        <family val="2"/>
        <scheme val="minor"/>
      </rPr>
      <t xml:space="preserve"> </t>
    </r>
  </si>
  <si>
    <r>
      <rPr>
        <sz val="12"/>
        <color indexed="63"/>
        <rFont val="Calibri"/>
        <family val="2"/>
        <scheme val="minor"/>
      </rPr>
      <t>Mulcher-packer</t>
    </r>
    <r>
      <rPr>
        <sz val="12"/>
        <rFont val="Calibri"/>
        <family val="2"/>
        <scheme val="minor"/>
      </rPr>
      <t xml:space="preserve"> </t>
    </r>
  </si>
  <si>
    <r>
      <rPr>
        <sz val="12"/>
        <color indexed="63"/>
        <rFont val="Calibri"/>
        <family val="2"/>
        <scheme val="minor"/>
      </rPr>
      <t>Planter</t>
    </r>
    <r>
      <rPr>
        <sz val="12"/>
        <rFont val="Calibri"/>
        <family val="2"/>
        <scheme val="minor"/>
      </rPr>
      <t xml:space="preserve"> - Row crop </t>
    </r>
  </si>
  <si>
    <r>
      <rPr>
        <sz val="12"/>
        <color indexed="63"/>
        <rFont val="Calibri"/>
        <family val="2"/>
        <scheme val="minor"/>
      </rPr>
      <t>Plow</t>
    </r>
    <r>
      <rPr>
        <sz val="12"/>
        <rFont val="Calibri"/>
        <family val="2"/>
        <scheme val="minor"/>
      </rPr>
      <t xml:space="preserve"> - Moldboard</t>
    </r>
  </si>
  <si>
    <r>
      <t xml:space="preserve"> </t>
    </r>
    <r>
      <rPr>
        <sz val="12"/>
        <color indexed="63"/>
        <rFont val="Calibri"/>
        <family val="2"/>
        <scheme val="minor"/>
      </rPr>
      <t>0.29</t>
    </r>
    <r>
      <rPr>
        <sz val="12"/>
        <rFont val="Calibri"/>
        <family val="2"/>
        <scheme val="minor"/>
      </rPr>
      <t xml:space="preserve"> </t>
    </r>
  </si>
  <si>
    <r>
      <rPr>
        <sz val="12"/>
        <color indexed="63"/>
        <rFont val="Calibri"/>
        <family val="2"/>
        <scheme val="minor"/>
      </rPr>
      <t>Potato harvester</t>
    </r>
    <r>
      <rPr>
        <sz val="12"/>
        <rFont val="Calibri"/>
        <family val="2"/>
        <scheme val="minor"/>
      </rPr>
      <t xml:space="preserve"> </t>
    </r>
  </si>
  <si>
    <r>
      <t xml:space="preserve"> </t>
    </r>
    <r>
      <rPr>
        <sz val="12"/>
        <color indexed="63"/>
        <rFont val="Calibri"/>
        <family val="2"/>
        <scheme val="minor"/>
      </rPr>
      <t>0.19</t>
    </r>
    <r>
      <rPr>
        <sz val="12"/>
        <rFont val="Calibri"/>
        <family val="2"/>
        <scheme val="minor"/>
      </rPr>
      <t xml:space="preserve"> </t>
    </r>
  </si>
  <si>
    <r>
      <rPr>
        <sz val="12"/>
        <color indexed="63"/>
        <rFont val="Calibri"/>
        <family val="2"/>
        <scheme val="minor"/>
      </rPr>
      <t>Rake</t>
    </r>
    <r>
      <rPr>
        <sz val="12"/>
        <rFont val="Calibri"/>
        <family val="2"/>
        <scheme val="minor"/>
      </rPr>
      <t xml:space="preserve"> - Side delivery </t>
    </r>
  </si>
  <si>
    <r>
      <rPr>
        <sz val="12"/>
        <color indexed="63"/>
        <rFont val="Calibri"/>
        <family val="2"/>
        <scheme val="minor"/>
      </rPr>
      <t>Roller-packer</t>
    </r>
    <r>
      <rPr>
        <sz val="12"/>
        <rFont val="Calibri"/>
        <family val="2"/>
        <scheme val="minor"/>
      </rPr>
      <t xml:space="preserve"> </t>
    </r>
  </si>
  <si>
    <r>
      <rPr>
        <sz val="12"/>
        <color indexed="63"/>
        <rFont val="Calibri"/>
        <family val="2"/>
        <scheme val="minor"/>
      </rPr>
      <t>Rotary hoe</t>
    </r>
    <r>
      <rPr>
        <sz val="12"/>
        <rFont val="Calibri"/>
        <family val="2"/>
        <scheme val="minor"/>
      </rPr>
      <t xml:space="preserve"> </t>
    </r>
  </si>
  <si>
    <r>
      <rPr>
        <sz val="12"/>
        <color indexed="63"/>
        <rFont val="Calibri"/>
        <family val="2"/>
        <scheme val="minor"/>
      </rPr>
      <t>Rotary tiller</t>
    </r>
    <r>
      <rPr>
        <sz val="12"/>
        <rFont val="Calibri"/>
        <family val="2"/>
        <scheme val="minor"/>
      </rPr>
      <t xml:space="preserve"> </t>
    </r>
  </si>
  <si>
    <r>
      <t xml:space="preserve"> </t>
    </r>
    <r>
      <rPr>
        <sz val="12"/>
        <color indexed="63"/>
        <rFont val="Calibri"/>
        <family val="2"/>
        <scheme val="minor"/>
      </rPr>
      <t>0.36</t>
    </r>
    <r>
      <rPr>
        <sz val="12"/>
        <rFont val="Calibri"/>
        <family val="2"/>
        <scheme val="minor"/>
      </rPr>
      <t xml:space="preserve"> </t>
    </r>
  </si>
  <si>
    <r>
      <rPr>
        <sz val="12"/>
        <color indexed="63"/>
        <rFont val="Calibri"/>
        <family val="2"/>
        <scheme val="minor"/>
      </rPr>
      <t>Sprayer</t>
    </r>
    <r>
      <rPr>
        <sz val="12"/>
        <rFont val="Calibri"/>
        <family val="2"/>
        <scheme val="minor"/>
      </rPr>
      <t xml:space="preserve"> - Air-carrier </t>
    </r>
  </si>
  <si>
    <r>
      <rPr>
        <sz val="12"/>
        <color indexed="63"/>
        <rFont val="Calibri"/>
        <family val="2"/>
        <scheme val="minor"/>
      </rPr>
      <t>Sprayer</t>
    </r>
    <r>
      <rPr>
        <sz val="12"/>
        <rFont val="Calibri"/>
        <family val="2"/>
        <scheme val="minor"/>
      </rPr>
      <t xml:space="preserve"> - Boom-type </t>
    </r>
  </si>
  <si>
    <r>
      <t xml:space="preserve"> </t>
    </r>
    <r>
      <rPr>
        <sz val="12"/>
        <color indexed="63"/>
        <rFont val="Calibri"/>
        <family val="2"/>
        <scheme val="minor"/>
      </rPr>
      <t>0.41</t>
    </r>
    <r>
      <rPr>
        <sz val="12"/>
        <rFont val="Calibri"/>
        <family val="2"/>
        <scheme val="minor"/>
      </rPr>
      <t xml:space="preserve"> </t>
    </r>
  </si>
  <si>
    <r>
      <rPr>
        <sz val="12"/>
        <color indexed="63"/>
        <rFont val="Calibri"/>
        <family val="2"/>
        <scheme val="minor"/>
      </rPr>
      <t>Stalk chopper</t>
    </r>
    <r>
      <rPr>
        <sz val="12"/>
        <rFont val="Calibri"/>
        <family val="2"/>
        <scheme val="minor"/>
      </rPr>
      <t xml:space="preserve"> </t>
    </r>
  </si>
  <si>
    <r>
      <rPr>
        <sz val="12"/>
        <color indexed="63"/>
        <rFont val="Calibri"/>
        <family val="2"/>
        <scheme val="minor"/>
      </rPr>
      <t>Sugar beet harvester</t>
    </r>
    <r>
      <rPr>
        <sz val="12"/>
        <rFont val="Calibri"/>
        <family val="2"/>
        <scheme val="minor"/>
      </rPr>
      <t xml:space="preserve"> </t>
    </r>
  </si>
  <si>
    <r>
      <t xml:space="preserve"> </t>
    </r>
    <r>
      <rPr>
        <sz val="12"/>
        <color indexed="63"/>
        <rFont val="Calibri"/>
        <family val="2"/>
        <scheme val="minor"/>
      </rPr>
      <t>0.59</t>
    </r>
    <r>
      <rPr>
        <sz val="12"/>
        <rFont val="Calibri"/>
        <family val="2"/>
        <scheme val="minor"/>
      </rPr>
      <t xml:space="preserve"> </t>
    </r>
  </si>
  <si>
    <r>
      <rPr>
        <sz val="12"/>
        <color indexed="63"/>
        <rFont val="Calibri"/>
        <family val="2"/>
        <scheme val="minor"/>
      </rPr>
      <t>Wagon</t>
    </r>
    <r>
      <rPr>
        <sz val="12"/>
        <rFont val="Calibri"/>
        <family val="2"/>
        <scheme val="minor"/>
      </rPr>
      <t xml:space="preserve"> </t>
    </r>
  </si>
  <si>
    <r>
      <rPr>
        <sz val="12"/>
        <color indexed="63"/>
        <rFont val="Calibri"/>
        <family val="2"/>
        <scheme val="minor"/>
      </rPr>
      <t>Wagon</t>
    </r>
    <r>
      <rPr>
        <sz val="12"/>
        <rFont val="Calibri"/>
        <family val="2"/>
        <scheme val="minor"/>
      </rPr>
      <t xml:space="preserve"> - Forage </t>
    </r>
  </si>
  <si>
    <r>
      <rPr>
        <sz val="12"/>
        <color indexed="63"/>
        <rFont val="Calibri"/>
        <family val="2"/>
        <scheme val="minor"/>
      </rPr>
      <t>Windrower(SP)</t>
    </r>
    <r>
      <rPr>
        <sz val="12"/>
        <rFont val="Calibri"/>
        <family val="2"/>
        <scheme val="minor"/>
      </rPr>
      <t xml:space="preserve"> </t>
    </r>
  </si>
  <si>
    <r>
      <t xml:space="preserve"> </t>
    </r>
    <r>
      <rPr>
        <sz val="12"/>
        <color indexed="63"/>
        <rFont val="Calibri"/>
        <family val="2"/>
        <scheme val="minor"/>
      </rPr>
      <t>0.06</t>
    </r>
    <r>
      <rPr>
        <sz val="12"/>
        <rFont val="Calibri"/>
        <family val="2"/>
        <scheme val="minor"/>
      </rPr>
      <t xml:space="preserve"> </t>
    </r>
  </si>
  <si>
    <t>Hand move lateral</t>
  </si>
  <si>
    <t>See Table 5-5*</t>
  </si>
  <si>
    <t>End tow lateral</t>
  </si>
  <si>
    <t>Side roll lateral</t>
  </si>
  <si>
    <t>Lateral</t>
  </si>
  <si>
    <t>Traveling gun</t>
  </si>
  <si>
    <t>Center Pivot</t>
  </si>
  <si>
    <t>Center Pivot w/corner</t>
  </si>
  <si>
    <t>Linear move with ditch</t>
  </si>
  <si>
    <t>Linear move with pipe</t>
  </si>
  <si>
    <t>Portable solid set</t>
  </si>
  <si>
    <t>Permanent solid set</t>
  </si>
  <si>
    <t>Orchard hose-pull</t>
  </si>
  <si>
    <r>
      <t xml:space="preserve"> </t>
    </r>
    <r>
      <rPr>
        <sz val="12"/>
        <color indexed="63"/>
        <rFont val="Calibri"/>
        <family val="2"/>
        <scheme val="minor"/>
      </rPr>
      <t>Equipment type</t>
    </r>
    <r>
      <rPr>
        <sz val="12"/>
        <rFont val="Calibri"/>
        <family val="2"/>
        <scheme val="minor"/>
      </rPr>
      <t xml:space="preserve"> </t>
    </r>
  </si>
  <si>
    <r>
      <t xml:space="preserve"> </t>
    </r>
    <r>
      <rPr>
        <i/>
        <sz val="12"/>
        <color indexed="63"/>
        <rFont val="Calibri"/>
        <family val="2"/>
        <scheme val="minor"/>
      </rPr>
      <t>C</t>
    </r>
    <r>
      <rPr>
        <sz val="12"/>
        <color indexed="63"/>
        <rFont val="Calibri"/>
        <family val="2"/>
        <scheme val="minor"/>
      </rPr>
      <t>1</t>
    </r>
    <r>
      <rPr>
        <sz val="12"/>
        <rFont val="Calibri"/>
        <family val="2"/>
        <scheme val="minor"/>
      </rPr>
      <t xml:space="preserve"> </t>
    </r>
  </si>
  <si>
    <r>
      <t xml:space="preserve"> </t>
    </r>
    <r>
      <rPr>
        <i/>
        <sz val="12"/>
        <color indexed="63"/>
        <rFont val="Calibri"/>
        <family val="2"/>
        <scheme val="minor"/>
      </rPr>
      <t>C</t>
    </r>
    <r>
      <rPr>
        <sz val="12"/>
        <color indexed="63"/>
        <rFont val="Calibri"/>
        <family val="2"/>
        <scheme val="minor"/>
      </rPr>
      <t>2</t>
    </r>
    <r>
      <rPr>
        <sz val="12"/>
        <rFont val="Calibri"/>
        <family val="2"/>
        <scheme val="minor"/>
      </rPr>
      <t xml:space="preserve"> </t>
    </r>
  </si>
  <si>
    <r>
      <t xml:space="preserve"> </t>
    </r>
    <r>
      <rPr>
        <i/>
        <sz val="12"/>
        <color indexed="63"/>
        <rFont val="Calibri"/>
        <family val="2"/>
        <scheme val="minor"/>
      </rPr>
      <t>C</t>
    </r>
    <r>
      <rPr>
        <sz val="12"/>
        <color indexed="63"/>
        <rFont val="Calibri"/>
        <family val="2"/>
        <scheme val="minor"/>
      </rPr>
      <t>3</t>
    </r>
    <r>
      <rPr>
        <sz val="12"/>
        <rFont val="Calibri"/>
        <family val="2"/>
        <scheme val="minor"/>
      </rPr>
      <t xml:space="preserve"> </t>
    </r>
  </si>
  <si>
    <r>
      <t xml:space="preserve"> </t>
    </r>
    <r>
      <rPr>
        <sz val="12"/>
        <color indexed="63"/>
        <rFont val="Calibri"/>
        <family val="2"/>
        <scheme val="minor"/>
      </rPr>
      <t>Farm tractors</t>
    </r>
    <r>
      <rPr>
        <sz val="12"/>
        <rFont val="Calibri"/>
        <family val="2"/>
        <scheme val="minor"/>
      </rPr>
      <t xml:space="preserve"> </t>
    </r>
  </si>
  <si>
    <r>
      <t xml:space="preserve">Farm tractors </t>
    </r>
    <r>
      <rPr>
        <sz val="12"/>
        <color indexed="63"/>
        <rFont val="Calibri"/>
        <family val="2"/>
        <scheme val="minor"/>
      </rPr>
      <t>(&lt;80hp)</t>
    </r>
    <r>
      <rPr>
        <sz val="12"/>
        <rFont val="Calibri"/>
        <family val="2"/>
        <scheme val="minor"/>
      </rPr>
      <t xml:space="preserve"> </t>
    </r>
  </si>
  <si>
    <r>
      <t xml:space="preserve"> </t>
    </r>
    <r>
      <rPr>
        <sz val="12"/>
        <color indexed="63"/>
        <rFont val="Calibri"/>
        <family val="2"/>
        <scheme val="minor"/>
      </rPr>
      <t>0.981</t>
    </r>
    <r>
      <rPr>
        <sz val="12"/>
        <rFont val="Calibri"/>
        <family val="2"/>
        <scheme val="minor"/>
      </rPr>
      <t xml:space="preserve"> </t>
    </r>
  </si>
  <si>
    <r>
      <t xml:space="preserve"> </t>
    </r>
    <r>
      <rPr>
        <sz val="12"/>
        <color indexed="63"/>
        <rFont val="Calibri"/>
        <family val="2"/>
        <scheme val="minor"/>
      </rPr>
      <t>0.093</t>
    </r>
    <r>
      <rPr>
        <sz val="12"/>
        <rFont val="Calibri"/>
        <family val="2"/>
        <scheme val="minor"/>
      </rPr>
      <t xml:space="preserve"> </t>
    </r>
  </si>
  <si>
    <r>
      <t xml:space="preserve"> </t>
    </r>
    <r>
      <rPr>
        <sz val="12"/>
        <color indexed="63"/>
        <rFont val="Calibri"/>
        <family val="2"/>
        <scheme val="minor"/>
      </rPr>
      <t>0.0058</t>
    </r>
    <r>
      <rPr>
        <sz val="12"/>
        <rFont val="Calibri"/>
        <family val="2"/>
        <scheme val="minor"/>
      </rPr>
      <t xml:space="preserve"> </t>
    </r>
  </si>
  <si>
    <r>
      <t xml:space="preserve">Farm tractors </t>
    </r>
    <r>
      <rPr>
        <sz val="12"/>
        <color indexed="63"/>
        <rFont val="Calibri"/>
        <family val="2"/>
        <scheme val="minor"/>
      </rPr>
      <t>(80-150hp)</t>
    </r>
    <r>
      <rPr>
        <sz val="12"/>
        <rFont val="Calibri"/>
        <family val="2"/>
        <scheme val="minor"/>
      </rPr>
      <t xml:space="preserve"> </t>
    </r>
  </si>
  <si>
    <r>
      <t xml:space="preserve"> </t>
    </r>
    <r>
      <rPr>
        <sz val="12"/>
        <color indexed="63"/>
        <rFont val="Calibri"/>
        <family val="2"/>
        <scheme val="minor"/>
      </rPr>
      <t>0.942</t>
    </r>
    <r>
      <rPr>
        <sz val="12"/>
        <rFont val="Calibri"/>
        <family val="2"/>
        <scheme val="minor"/>
      </rPr>
      <t xml:space="preserve"> </t>
    </r>
  </si>
  <si>
    <r>
      <t xml:space="preserve"> </t>
    </r>
    <r>
      <rPr>
        <sz val="12"/>
        <color indexed="63"/>
        <rFont val="Calibri"/>
        <family val="2"/>
        <scheme val="minor"/>
      </rPr>
      <t>0.100</t>
    </r>
    <r>
      <rPr>
        <sz val="12"/>
        <rFont val="Calibri"/>
        <family val="2"/>
        <scheme val="minor"/>
      </rPr>
      <t xml:space="preserve"> </t>
    </r>
  </si>
  <si>
    <r>
      <t xml:space="preserve"> </t>
    </r>
    <r>
      <rPr>
        <sz val="12"/>
        <color indexed="63"/>
        <rFont val="Calibri"/>
        <family val="2"/>
        <scheme val="minor"/>
      </rPr>
      <t>0.0008</t>
    </r>
    <r>
      <rPr>
        <sz val="12"/>
        <rFont val="Calibri"/>
        <family val="2"/>
        <scheme val="minor"/>
      </rPr>
      <t xml:space="preserve"> </t>
    </r>
  </si>
  <si>
    <r>
      <t xml:space="preserve">Farm tractors </t>
    </r>
    <r>
      <rPr>
        <sz val="12"/>
        <color indexed="63"/>
        <rFont val="Calibri"/>
        <family val="2"/>
        <scheme val="minor"/>
      </rPr>
      <t>(&gt;150hp)</t>
    </r>
    <r>
      <rPr>
        <sz val="12"/>
        <rFont val="Calibri"/>
        <family val="2"/>
        <scheme val="minor"/>
      </rPr>
      <t xml:space="preserve"> </t>
    </r>
  </si>
  <si>
    <r>
      <t xml:space="preserve"> </t>
    </r>
    <r>
      <rPr>
        <sz val="12"/>
        <color indexed="63"/>
        <rFont val="Calibri"/>
        <family val="2"/>
        <scheme val="minor"/>
      </rPr>
      <t>0.976</t>
    </r>
    <r>
      <rPr>
        <sz val="12"/>
        <rFont val="Calibri"/>
        <family val="2"/>
        <scheme val="minor"/>
      </rPr>
      <t xml:space="preserve"> </t>
    </r>
  </si>
  <si>
    <r>
      <t xml:space="preserve"> </t>
    </r>
    <r>
      <rPr>
        <sz val="12"/>
        <color indexed="63"/>
        <rFont val="Calibri"/>
        <family val="2"/>
        <scheme val="minor"/>
      </rPr>
      <t>0.119</t>
    </r>
    <r>
      <rPr>
        <sz val="12"/>
        <rFont val="Calibri"/>
        <family val="2"/>
        <scheme val="minor"/>
      </rPr>
      <t xml:space="preserve"> </t>
    </r>
  </si>
  <si>
    <r>
      <t xml:space="preserve"> </t>
    </r>
    <r>
      <rPr>
        <sz val="12"/>
        <color indexed="63"/>
        <rFont val="Calibri"/>
        <family val="2"/>
        <scheme val="minor"/>
      </rPr>
      <t>0.0019</t>
    </r>
    <r>
      <rPr>
        <sz val="12"/>
        <rFont val="Calibri"/>
        <family val="2"/>
        <scheme val="minor"/>
      </rPr>
      <t xml:space="preserve"> </t>
    </r>
  </si>
  <si>
    <r>
      <t xml:space="preserve"> </t>
    </r>
    <r>
      <rPr>
        <sz val="12"/>
        <color indexed="63"/>
        <rFont val="Calibri"/>
        <family val="2"/>
        <scheme val="minor"/>
      </rPr>
      <t>Harvest equipment</t>
    </r>
    <r>
      <rPr>
        <sz val="12"/>
        <rFont val="Calibri"/>
        <family val="2"/>
        <scheme val="minor"/>
      </rPr>
      <t xml:space="preserve"> </t>
    </r>
  </si>
  <si>
    <r>
      <rPr>
        <sz val="12"/>
        <color indexed="63"/>
        <rFont val="Calibri"/>
        <family val="2"/>
        <scheme val="minor"/>
      </rPr>
      <t>Combines</t>
    </r>
    <r>
      <rPr>
        <sz val="12"/>
        <rFont val="Calibri"/>
        <family val="2"/>
        <scheme val="minor"/>
      </rPr>
      <t xml:space="preserve"> </t>
    </r>
  </si>
  <si>
    <r>
      <t xml:space="preserve"> </t>
    </r>
    <r>
      <rPr>
        <sz val="12"/>
        <color indexed="63"/>
        <rFont val="Calibri"/>
        <family val="2"/>
        <scheme val="minor"/>
      </rPr>
      <t>1.132</t>
    </r>
    <r>
      <rPr>
        <sz val="12"/>
        <rFont val="Calibri"/>
        <family val="2"/>
        <scheme val="minor"/>
      </rPr>
      <t xml:space="preserve"> </t>
    </r>
  </si>
  <si>
    <r>
      <t xml:space="preserve"> </t>
    </r>
    <r>
      <rPr>
        <sz val="12"/>
        <color indexed="63"/>
        <rFont val="Calibri"/>
        <family val="2"/>
        <scheme val="minor"/>
      </rPr>
      <t>0.165</t>
    </r>
    <r>
      <rPr>
        <sz val="12"/>
        <rFont val="Calibri"/>
        <family val="2"/>
        <scheme val="minor"/>
      </rPr>
      <t xml:space="preserve"> </t>
    </r>
  </si>
  <si>
    <r>
      <t xml:space="preserve"> </t>
    </r>
    <r>
      <rPr>
        <sz val="12"/>
        <color indexed="63"/>
        <rFont val="Calibri"/>
        <family val="2"/>
        <scheme val="minor"/>
      </rPr>
      <t>0.0079</t>
    </r>
    <r>
      <rPr>
        <sz val="12"/>
        <rFont val="Calibri"/>
        <family val="2"/>
        <scheme val="minor"/>
      </rPr>
      <t xml:space="preserve"> </t>
    </r>
  </si>
  <si>
    <r>
      <rPr>
        <sz val="12"/>
        <color indexed="63"/>
        <rFont val="Calibri"/>
        <family val="2"/>
        <scheme val="minor"/>
      </rPr>
      <t>Mowers</t>
    </r>
    <r>
      <rPr>
        <sz val="12"/>
        <rFont val="Calibri"/>
        <family val="2"/>
        <scheme val="minor"/>
      </rPr>
      <t xml:space="preserve"> </t>
    </r>
  </si>
  <si>
    <r>
      <t xml:space="preserve"> </t>
    </r>
    <r>
      <rPr>
        <sz val="12"/>
        <color indexed="63"/>
        <rFont val="Calibri"/>
        <family val="2"/>
        <scheme val="minor"/>
      </rPr>
      <t>0.756</t>
    </r>
    <r>
      <rPr>
        <sz val="12"/>
        <rFont val="Calibri"/>
        <family val="2"/>
        <scheme val="minor"/>
      </rPr>
      <t xml:space="preserve"> </t>
    </r>
  </si>
  <si>
    <r>
      <t xml:space="preserve"> </t>
    </r>
    <r>
      <rPr>
        <sz val="12"/>
        <color indexed="63"/>
        <rFont val="Calibri"/>
        <family val="2"/>
        <scheme val="minor"/>
      </rPr>
      <t>0.067</t>
    </r>
    <r>
      <rPr>
        <sz val="12"/>
        <rFont val="Calibri"/>
        <family val="2"/>
        <scheme val="minor"/>
      </rPr>
      <t xml:space="preserve"> </t>
    </r>
  </si>
  <si>
    <r>
      <rPr>
        <sz val="12"/>
        <color indexed="63"/>
        <rFont val="Calibri"/>
        <family val="2"/>
        <scheme val="minor"/>
      </rPr>
      <t>Balers</t>
    </r>
    <r>
      <rPr>
        <sz val="12"/>
        <rFont val="Calibri"/>
        <family val="2"/>
        <scheme val="minor"/>
      </rPr>
      <t xml:space="preserve"> </t>
    </r>
  </si>
  <si>
    <r>
      <t xml:space="preserve"> </t>
    </r>
    <r>
      <rPr>
        <sz val="12"/>
        <color indexed="63"/>
        <rFont val="Calibri"/>
        <family val="2"/>
        <scheme val="minor"/>
      </rPr>
      <t>0.852</t>
    </r>
    <r>
      <rPr>
        <sz val="12"/>
        <rFont val="Calibri"/>
        <family val="2"/>
        <scheme val="minor"/>
      </rPr>
      <t xml:space="preserve"> </t>
    </r>
  </si>
  <si>
    <r>
      <t xml:space="preserve"> </t>
    </r>
    <r>
      <rPr>
        <sz val="12"/>
        <color indexed="63"/>
        <rFont val="Calibri"/>
        <family val="2"/>
        <scheme val="minor"/>
      </rPr>
      <t>0.101</t>
    </r>
    <r>
      <rPr>
        <sz val="12"/>
        <rFont val="Calibri"/>
        <family val="2"/>
        <scheme val="minor"/>
      </rPr>
      <t xml:space="preserve"> </t>
    </r>
  </si>
  <si>
    <r>
      <rPr>
        <sz val="12"/>
        <color indexed="63"/>
        <rFont val="Calibri"/>
        <family val="2"/>
        <scheme val="minor"/>
      </rPr>
      <t>Swathers and all other harvest equipment</t>
    </r>
    <r>
      <rPr>
        <sz val="12"/>
        <rFont val="Calibri"/>
        <family val="2"/>
        <scheme val="minor"/>
      </rPr>
      <t xml:space="preserve"> </t>
    </r>
  </si>
  <si>
    <r>
      <t xml:space="preserve"> </t>
    </r>
    <r>
      <rPr>
        <sz val="12"/>
        <color indexed="63"/>
        <rFont val="Calibri"/>
        <family val="2"/>
        <scheme val="minor"/>
      </rPr>
      <t>0.791</t>
    </r>
    <r>
      <rPr>
        <sz val="12"/>
        <rFont val="Calibri"/>
        <family val="2"/>
        <scheme val="minor"/>
      </rPr>
      <t xml:space="preserve"> </t>
    </r>
  </si>
  <si>
    <r>
      <t xml:space="preserve"> </t>
    </r>
    <r>
      <rPr>
        <sz val="12"/>
        <color indexed="63"/>
        <rFont val="Calibri"/>
        <family val="2"/>
        <scheme val="minor"/>
      </rPr>
      <t>0.091</t>
    </r>
    <r>
      <rPr>
        <sz val="12"/>
        <rFont val="Calibri"/>
        <family val="2"/>
        <scheme val="minor"/>
      </rPr>
      <t xml:space="preserve"> </t>
    </r>
  </si>
  <si>
    <r>
      <t xml:space="preserve"> </t>
    </r>
    <r>
      <rPr>
        <sz val="12"/>
        <color indexed="63"/>
        <rFont val="Calibri"/>
        <family val="2"/>
        <scheme val="minor"/>
      </rPr>
      <t>Tillage equipment</t>
    </r>
    <r>
      <rPr>
        <sz val="12"/>
        <rFont val="Calibri"/>
        <family val="2"/>
        <scheme val="minor"/>
      </rPr>
      <t xml:space="preserve"> </t>
    </r>
  </si>
  <si>
    <r>
      <rPr>
        <sz val="12"/>
        <color indexed="63"/>
        <rFont val="Calibri"/>
        <family val="2"/>
        <scheme val="minor"/>
      </rPr>
      <t>Plows</t>
    </r>
    <r>
      <rPr>
        <sz val="12"/>
        <rFont val="Calibri"/>
        <family val="2"/>
        <scheme val="minor"/>
      </rPr>
      <t xml:space="preserve"> </t>
    </r>
  </si>
  <si>
    <r>
      <t xml:space="preserve"> </t>
    </r>
    <r>
      <rPr>
        <sz val="12"/>
        <color indexed="63"/>
        <rFont val="Calibri"/>
        <family val="2"/>
        <scheme val="minor"/>
      </rPr>
      <t>0.738</t>
    </r>
    <r>
      <rPr>
        <sz val="12"/>
        <rFont val="Calibri"/>
        <family val="2"/>
        <scheme val="minor"/>
      </rPr>
      <t xml:space="preserve"> </t>
    </r>
  </si>
  <si>
    <r>
      <t xml:space="preserve"> </t>
    </r>
    <r>
      <rPr>
        <sz val="12"/>
        <color indexed="63"/>
        <rFont val="Calibri"/>
        <family val="2"/>
        <scheme val="minor"/>
      </rPr>
      <t>0.051</t>
    </r>
    <r>
      <rPr>
        <sz val="12"/>
        <rFont val="Calibri"/>
        <family val="2"/>
        <scheme val="minor"/>
      </rPr>
      <t xml:space="preserve"> </t>
    </r>
  </si>
  <si>
    <r>
      <rPr>
        <sz val="12"/>
        <color indexed="63"/>
        <rFont val="Calibri"/>
        <family val="2"/>
        <scheme val="minor"/>
      </rPr>
      <t>Disks and all other tillage equipment</t>
    </r>
    <r>
      <rPr>
        <sz val="12"/>
        <rFont val="Calibri"/>
        <family val="2"/>
        <scheme val="minor"/>
      </rPr>
      <t xml:space="preserve"> </t>
    </r>
  </si>
  <si>
    <r>
      <t xml:space="preserve"> </t>
    </r>
    <r>
      <rPr>
        <sz val="12"/>
        <color indexed="63"/>
        <rFont val="Calibri"/>
        <family val="2"/>
        <scheme val="minor"/>
      </rPr>
      <t>0.891</t>
    </r>
    <r>
      <rPr>
        <sz val="12"/>
        <rFont val="Calibri"/>
        <family val="2"/>
        <scheme val="minor"/>
      </rPr>
      <t xml:space="preserve"> </t>
    </r>
  </si>
  <si>
    <r>
      <t xml:space="preserve"> </t>
    </r>
    <r>
      <rPr>
        <sz val="12"/>
        <color indexed="63"/>
        <rFont val="Calibri"/>
        <family val="2"/>
        <scheme val="minor"/>
      </rPr>
      <t>0.110</t>
    </r>
    <r>
      <rPr>
        <sz val="12"/>
        <rFont val="Calibri"/>
        <family val="2"/>
        <scheme val="minor"/>
      </rPr>
      <t xml:space="preserve"> </t>
    </r>
  </si>
  <si>
    <r>
      <t xml:space="preserve"> </t>
    </r>
    <r>
      <rPr>
        <sz val="12"/>
        <color indexed="63"/>
        <rFont val="Calibri"/>
        <family val="2"/>
        <scheme val="minor"/>
      </rPr>
      <t>Miscellaneousequipment</t>
    </r>
    <r>
      <rPr>
        <sz val="12"/>
        <rFont val="Calibri"/>
        <family val="2"/>
        <scheme val="minor"/>
      </rPr>
      <t xml:space="preserve"> </t>
    </r>
  </si>
  <si>
    <r>
      <rPr>
        <sz val="12"/>
        <color indexed="63"/>
        <rFont val="Calibri"/>
        <family val="2"/>
        <scheme val="minor"/>
      </rPr>
      <t>Skid-steerloaders and all other vechicles</t>
    </r>
    <r>
      <rPr>
        <sz val="12"/>
        <rFont val="Calibri"/>
        <family val="2"/>
        <scheme val="minor"/>
      </rPr>
      <t xml:space="preserve"> </t>
    </r>
  </si>
  <si>
    <r>
      <t xml:space="preserve"> </t>
    </r>
    <r>
      <rPr>
        <sz val="12"/>
        <color indexed="63"/>
        <rFont val="Calibri"/>
        <family val="2"/>
        <scheme val="minor"/>
      </rPr>
      <t>0.786</t>
    </r>
    <r>
      <rPr>
        <sz val="12"/>
        <rFont val="Calibri"/>
        <family val="2"/>
        <scheme val="minor"/>
      </rPr>
      <t xml:space="preserve"> </t>
    </r>
  </si>
  <si>
    <r>
      <t xml:space="preserve"> </t>
    </r>
    <r>
      <rPr>
        <sz val="12"/>
        <color indexed="63"/>
        <rFont val="Calibri"/>
        <family val="2"/>
        <scheme val="minor"/>
      </rPr>
      <t>0.063</t>
    </r>
    <r>
      <rPr>
        <sz val="12"/>
        <rFont val="Calibri"/>
        <family val="2"/>
        <scheme val="minor"/>
      </rPr>
      <t xml:space="preserve"> </t>
    </r>
  </si>
  <si>
    <r>
      <t xml:space="preserve"> </t>
    </r>
    <r>
      <rPr>
        <sz val="12"/>
        <color indexed="63"/>
        <rFont val="Calibri"/>
        <family val="2"/>
        <scheme val="minor"/>
      </rPr>
      <t>0.0033</t>
    </r>
    <r>
      <rPr>
        <sz val="12"/>
        <rFont val="Calibri"/>
        <family val="2"/>
        <scheme val="minor"/>
      </rPr>
      <t xml:space="preserve"> </t>
    </r>
  </si>
  <si>
    <r>
      <rPr>
        <sz val="12"/>
        <color indexed="63"/>
        <rFont val="Calibri"/>
        <family val="2"/>
        <scheme val="minor"/>
      </rPr>
      <t>Planters</t>
    </r>
    <r>
      <rPr>
        <sz val="12"/>
        <rFont val="Calibri"/>
        <family val="2"/>
        <scheme val="minor"/>
      </rPr>
      <t xml:space="preserve"> </t>
    </r>
  </si>
  <si>
    <r>
      <t xml:space="preserve"> </t>
    </r>
    <r>
      <rPr>
        <sz val="12"/>
        <color indexed="63"/>
        <rFont val="Calibri"/>
        <family val="2"/>
        <scheme val="minor"/>
      </rPr>
      <t>0.883</t>
    </r>
    <r>
      <rPr>
        <sz val="12"/>
        <rFont val="Calibri"/>
        <family val="2"/>
        <scheme val="minor"/>
      </rPr>
      <t xml:space="preserve"> </t>
    </r>
  </si>
  <si>
    <r>
      <t xml:space="preserve"> </t>
    </r>
    <r>
      <rPr>
        <sz val="12"/>
        <color indexed="63"/>
        <rFont val="Calibri"/>
        <family val="2"/>
        <scheme val="minor"/>
      </rPr>
      <t>0.078</t>
    </r>
    <r>
      <rPr>
        <sz val="12"/>
        <rFont val="Calibri"/>
        <family val="2"/>
        <scheme val="minor"/>
      </rPr>
      <t xml:space="preserve"> </t>
    </r>
  </si>
  <si>
    <r>
      <t xml:space="preserve"> </t>
    </r>
    <r>
      <rPr>
        <sz val="12"/>
        <color indexed="63"/>
        <rFont val="Calibri"/>
        <family val="2"/>
        <scheme val="minor"/>
      </rPr>
      <t>Miscellaneous equipment</t>
    </r>
    <r>
      <rPr>
        <sz val="12"/>
        <rFont val="Calibri"/>
        <family val="2"/>
        <scheme val="minor"/>
      </rPr>
      <t xml:space="preserve"> </t>
    </r>
  </si>
  <si>
    <r>
      <t xml:space="preserve">Manure spreaders and </t>
    </r>
    <r>
      <rPr>
        <sz val="12"/>
        <color indexed="63"/>
        <rFont val="Calibri"/>
        <family val="2"/>
        <scheme val="minor"/>
      </rPr>
      <t>all other miscellaneous equipment</t>
    </r>
    <r>
      <rPr>
        <sz val="12"/>
        <rFont val="Calibri"/>
        <family val="2"/>
        <scheme val="minor"/>
      </rPr>
      <t xml:space="preserve"> </t>
    </r>
  </si>
  <si>
    <r>
      <t xml:space="preserve"> </t>
    </r>
    <r>
      <rPr>
        <sz val="12"/>
        <color indexed="63"/>
        <rFont val="Calibri"/>
        <family val="2"/>
        <scheme val="minor"/>
      </rPr>
      <t>0.943</t>
    </r>
    <r>
      <rPr>
        <sz val="12"/>
        <rFont val="Calibri"/>
        <family val="2"/>
        <scheme val="minor"/>
      </rPr>
      <t xml:space="preserve"> </t>
    </r>
  </si>
  <si>
    <r>
      <t xml:space="preserve"> </t>
    </r>
    <r>
      <rPr>
        <sz val="12"/>
        <color indexed="63"/>
        <rFont val="Calibri"/>
        <family val="2"/>
        <scheme val="minor"/>
      </rPr>
      <t>0.111</t>
    </r>
    <r>
      <rPr>
        <sz val="12"/>
        <rFont val="Calibri"/>
        <family val="2"/>
        <scheme val="minor"/>
      </rPr>
      <t xml:space="preserve"> </t>
    </r>
  </si>
  <si>
    <t>Table 5-5. Average Annual Maintenance Costs for Sprinkler Irrigation Systems</t>
  </si>
  <si>
    <t>System Type</t>
  </si>
  <si>
    <t>Life-yrs</t>
  </si>
  <si>
    <t>Maintenance, % of capital cost</t>
  </si>
  <si>
    <t>From "Selection of Irrigation Methods for Agriculture" by C.M. Burt, A.J. Clemmens, R.Bliesner, J.L. Merriam, and L. Hardy. ©2000 by American Society of Civil Engineers, 1801 Alexander Bell Drive, Reston, Virginia, 20191-4400. page 112</t>
  </si>
  <si>
    <t xml:space="preserve"> Equipment type </t>
  </si>
  <si>
    <r>
      <t xml:space="preserve"> </t>
    </r>
    <r>
      <rPr>
        <i/>
        <sz val="12"/>
        <color rgb="FFFFFF00"/>
        <rFont val="Calibri"/>
        <family val="2"/>
        <scheme val="minor"/>
      </rPr>
      <t>C</t>
    </r>
    <r>
      <rPr>
        <sz val="12"/>
        <color rgb="FFFFFF00"/>
        <rFont val="Calibri"/>
        <family val="2"/>
        <scheme val="minor"/>
      </rPr>
      <t xml:space="preserve">1 </t>
    </r>
  </si>
  <si>
    <r>
      <t xml:space="preserve"> </t>
    </r>
    <r>
      <rPr>
        <i/>
        <sz val="12"/>
        <color rgb="FFFFFF00"/>
        <rFont val="Calibri"/>
        <family val="2"/>
        <scheme val="minor"/>
      </rPr>
      <t>C</t>
    </r>
    <r>
      <rPr>
        <sz val="12"/>
        <color rgb="FFFFFF00"/>
        <rFont val="Calibri"/>
        <family val="2"/>
        <scheme val="minor"/>
      </rPr>
      <t xml:space="preserve">2 </t>
    </r>
  </si>
  <si>
    <r>
      <t xml:space="preserve"> </t>
    </r>
    <r>
      <rPr>
        <i/>
        <sz val="12"/>
        <color rgb="FFFFFF00"/>
        <rFont val="Calibri"/>
        <family val="2"/>
        <scheme val="minor"/>
      </rPr>
      <t>C</t>
    </r>
    <r>
      <rPr>
        <sz val="12"/>
        <color rgb="FFFFFF00"/>
        <rFont val="Calibri"/>
        <family val="2"/>
        <scheme val="minor"/>
      </rPr>
      <t xml:space="preserve">3 </t>
    </r>
  </si>
  <si>
    <t>Power Source</t>
  </si>
  <si>
    <t>Combine</t>
  </si>
  <si>
    <t>Electric Motor</t>
  </si>
  <si>
    <t>Tach Hours</t>
  </si>
  <si>
    <t>Repairs per Hour</t>
  </si>
  <si>
    <t>Depreciation per Hour</t>
  </si>
  <si>
    <t xml:space="preserve">Combines </t>
  </si>
  <si>
    <t xml:space="preserve">4 wheel drive &amp; crawler </t>
  </si>
  <si>
    <t xml:space="preserve">Combine(SP) </t>
  </si>
  <si>
    <t xml:space="preserve">Farm tractors (&gt;150hp) </t>
  </si>
  <si>
    <t>Power Unit</t>
  </si>
  <si>
    <t>Combine Irr SG</t>
  </si>
  <si>
    <t>Combine Irr Corn</t>
  </si>
  <si>
    <t>Combine Irr SB</t>
  </si>
  <si>
    <t>Combine Irr Dry Beans</t>
  </si>
  <si>
    <t>Anhydrous Apply</t>
  </si>
  <si>
    <t>Cart</t>
  </si>
  <si>
    <t>Chisel</t>
  </si>
  <si>
    <t>Chop Silage</t>
  </si>
  <si>
    <t>Chop Stalks</t>
  </si>
  <si>
    <t>Disc</t>
  </si>
  <si>
    <t>Ditch Irrigation</t>
  </si>
  <si>
    <t>Double Windrows</t>
  </si>
  <si>
    <t>Drill</t>
  </si>
  <si>
    <t>Dry Grain</t>
  </si>
  <si>
    <t>Fallow Master</t>
  </si>
  <si>
    <t>Field Cultivation</t>
  </si>
  <si>
    <t>Harrow</t>
  </si>
  <si>
    <t>Hoe</t>
  </si>
  <si>
    <t>Lg Rd Bale</t>
  </si>
  <si>
    <t>Lg Sq Bale</t>
  </si>
  <si>
    <t>Lift Beets</t>
  </si>
  <si>
    <t>Load Lg Sq</t>
  </si>
  <si>
    <t>Move Lg Rd</t>
  </si>
  <si>
    <t>No-Till Drill</t>
  </si>
  <si>
    <t>Pickett Windrowers</t>
  </si>
  <si>
    <t>Pipe D125’ Lift</t>
  </si>
  <si>
    <t>PivotD 125’Lift</t>
  </si>
  <si>
    <t>PivotE 125’Lift</t>
  </si>
  <si>
    <t>Plant</t>
  </si>
  <si>
    <t>Plant Narrow Row</t>
  </si>
  <si>
    <t>Plant No-Till</t>
  </si>
  <si>
    <t>Ridge Cultivation</t>
  </si>
  <si>
    <t>Ridge Plant</t>
  </si>
  <si>
    <t>Rod Weeder</t>
  </si>
  <si>
    <t>Roll</t>
  </si>
  <si>
    <t>Row Crop Cultivation</t>
  </si>
  <si>
    <t>Seeder/Packer</t>
  </si>
  <si>
    <t>Sm Sq Bale</t>
  </si>
  <si>
    <t>Spread manure</t>
  </si>
  <si>
    <t>Spread, Fertilizer</t>
  </si>
  <si>
    <t>Stack Sm Sq</t>
  </si>
  <si>
    <t>Subsoil</t>
  </si>
  <si>
    <t>Swath/Cond Hay</t>
  </si>
  <si>
    <t>Till Plant Beets</t>
  </si>
  <si>
    <t>Top Beets</t>
  </si>
  <si>
    <t>Truck</t>
  </si>
  <si>
    <t>Turn Windrows</t>
  </si>
  <si>
    <t>Windrow Grain</t>
  </si>
  <si>
    <t>Annual Use</t>
  </si>
  <si>
    <t>Windrower</t>
  </si>
  <si>
    <t xml:space="preserve">Swathers and all other harvest equipment </t>
  </si>
  <si>
    <t>Diesel Pump</t>
  </si>
  <si>
    <t xml:space="preserve">Farm tractors (&lt;80hp) </t>
  </si>
  <si>
    <t>Electric Pump</t>
  </si>
  <si>
    <t>Chisel plow (Coulter)</t>
  </si>
  <si>
    <t xml:space="preserve">Stalk chopper </t>
  </si>
  <si>
    <t xml:space="preserve">Combine </t>
  </si>
  <si>
    <t xml:space="preserve">Cultivator - Field </t>
  </si>
  <si>
    <t xml:space="preserve">Disk - Heavy-duty </t>
  </si>
  <si>
    <t xml:space="preserve">Rake - Side delivery </t>
  </si>
  <si>
    <t xml:space="preserve">Drill - Grain </t>
  </si>
  <si>
    <t xml:space="preserve">Mulcher-packer </t>
  </si>
  <si>
    <t xml:space="preserve">Harrow - Spring tooth </t>
  </si>
  <si>
    <t xml:space="preserve">Cultivator - Row crop </t>
  </si>
  <si>
    <t xml:space="preserve">Rotary hoe </t>
  </si>
  <si>
    <t xml:space="preserve">Baler - Large round </t>
  </si>
  <si>
    <t xml:space="preserve">Baler - Large rectangular </t>
  </si>
  <si>
    <t xml:space="preserve">Sugar beet harvester </t>
  </si>
  <si>
    <t xml:space="preserve">Bean puller-windrower </t>
  </si>
  <si>
    <t xml:space="preserve">Planter - Row crop </t>
  </si>
  <si>
    <t xml:space="preserve">Diskharrow - Tandem </t>
  </si>
  <si>
    <t xml:space="preserve">Baler - Rectangular </t>
  </si>
  <si>
    <t xml:space="preserve">Sprayer - Boom-type </t>
  </si>
  <si>
    <t xml:space="preserve">Sprayer - Air-carrier </t>
  </si>
  <si>
    <t xml:space="preserve">Beet topper </t>
  </si>
  <si>
    <t xml:space="preserve">Disks and all other tillage equipment </t>
  </si>
  <si>
    <t xml:space="preserve">Manure spreaders and all other miscellaneous equipment </t>
  </si>
  <si>
    <t xml:space="preserve">Planters </t>
  </si>
  <si>
    <t xml:space="preserve">Balers </t>
  </si>
  <si>
    <t>Units per Hour</t>
  </si>
  <si>
    <t>Calc Beg Yr. Value</t>
  </si>
  <si>
    <t>Calc List Price</t>
  </si>
  <si>
    <t>Diesel Use per Hour</t>
  </si>
  <si>
    <t>Kw Use per Hour</t>
  </si>
  <si>
    <t>Beg Yr Value</t>
  </si>
  <si>
    <t>Est. Hours per Year</t>
  </si>
  <si>
    <t>Calculated List Price</t>
  </si>
  <si>
    <t>Calculated Beg Yr. Value</t>
  </si>
  <si>
    <t>Calculated End Yr. Value</t>
  </si>
  <si>
    <t>Taxes, Ins., Housing Factor</t>
  </si>
  <si>
    <t>Year</t>
  </si>
  <si>
    <t>TIH per Hour</t>
  </si>
  <si>
    <t>Opportunity Cost per Hour</t>
  </si>
  <si>
    <t>Ownership Cost per Hour</t>
  </si>
  <si>
    <t>Begin Yr. Value</t>
  </si>
  <si>
    <t>Calc End Yr. Value</t>
  </si>
  <si>
    <t>Repairs per Unit</t>
  </si>
  <si>
    <t>Depreciation per Unit</t>
  </si>
  <si>
    <t>TIH per Unit</t>
  </si>
  <si>
    <t>Opportunity Cost per Unit</t>
  </si>
  <si>
    <t>Ownership Cost per Unit</t>
  </si>
  <si>
    <t>Ownership</t>
  </si>
  <si>
    <t>Pivots</t>
  </si>
  <si>
    <t>Years</t>
  </si>
  <si>
    <t>Combines</t>
  </si>
  <si>
    <t>Mowers</t>
  </si>
  <si>
    <t>Balers</t>
  </si>
  <si>
    <t>Harvest Other</t>
  </si>
  <si>
    <t>Plows</t>
  </si>
  <si>
    <t>Tillage Other</t>
  </si>
  <si>
    <t>Vehicles</t>
  </si>
  <si>
    <t>Planters</t>
  </si>
  <si>
    <t>Misc</t>
  </si>
  <si>
    <t>C1</t>
  </si>
  <si>
    <t>C2</t>
  </si>
  <si>
    <r>
      <t xml:space="preserve"> </t>
    </r>
    <r>
      <rPr>
        <sz val="12"/>
        <color indexed="63"/>
        <rFont val="Calibri"/>
        <family val="2"/>
        <scheme val="minor"/>
      </rPr>
      <t>Misc equipment</t>
    </r>
    <r>
      <rPr>
        <sz val="12"/>
        <rFont val="Calibri"/>
        <family val="2"/>
        <scheme val="minor"/>
      </rPr>
      <t xml:space="preserve"> </t>
    </r>
  </si>
  <si>
    <t/>
  </si>
  <si>
    <t xml:space="preserve">Wagon - Forage </t>
  </si>
  <si>
    <t>Spartan 4F</t>
  </si>
  <si>
    <t>Diesel Pump for Pipe</t>
  </si>
  <si>
    <t>Balance Flexx</t>
  </si>
  <si>
    <t>Your Estimate</t>
  </si>
  <si>
    <t>Interest on Opns Capital</t>
  </si>
  <si>
    <t>cash expense @</t>
  </si>
  <si>
    <t>Operations Borrowing Rate</t>
  </si>
  <si>
    <t>Operations Borrowing Time</t>
  </si>
  <si>
    <t>months</t>
  </si>
  <si>
    <t>Total Operating and Use Related Ownership Costs</t>
  </si>
  <si>
    <t>Scouting</t>
  </si>
  <si>
    <t>Crop Insurance</t>
  </si>
  <si>
    <t>Real Estate Opportunity</t>
  </si>
  <si>
    <t>per acre @</t>
  </si>
  <si>
    <t>Gravity (State)</t>
  </si>
  <si>
    <t>Gravity (Panhandle)</t>
  </si>
  <si>
    <t>Pivot (State)</t>
  </si>
  <si>
    <t>Pivot (Panhandle)</t>
  </si>
  <si>
    <t>Real Estate Values</t>
  </si>
  <si>
    <t>Description</t>
  </si>
  <si>
    <t>Value</t>
  </si>
  <si>
    <t>Real Estate Taxes</t>
  </si>
  <si>
    <t>Real Estate Tax Rate</t>
  </si>
  <si>
    <t>Haul Grain (Millet)</t>
  </si>
  <si>
    <t>Haul Grain (Sunflower)</t>
  </si>
  <si>
    <t>Haul Grain (Dry Beans)</t>
  </si>
  <si>
    <t>Total Cost per Acre Including Overhead</t>
  </si>
  <si>
    <t>Warrior II/Zeon</t>
  </si>
  <si>
    <t>16 AI</t>
  </si>
  <si>
    <t>22 AI</t>
  </si>
  <si>
    <t>85 bu</t>
  </si>
  <si>
    <t>100 bu</t>
  </si>
  <si>
    <t>9 AI</t>
  </si>
  <si>
    <t>Lube Factor</t>
  </si>
  <si>
    <t>Diesel &amp; Lube</t>
  </si>
  <si>
    <t>Anhy Apply (supplier)</t>
  </si>
  <si>
    <t xml:space="preserve">Farm tractors (80-150hp) </t>
  </si>
  <si>
    <r>
      <rPr>
        <b/>
        <sz val="10"/>
        <rFont val="Arial"/>
        <family val="2"/>
      </rPr>
      <t>Overhead</t>
    </r>
    <r>
      <rPr>
        <sz val="10"/>
        <rFont val="Arial"/>
        <family val="2"/>
      </rPr>
      <t xml:space="preserve">    (accounting, liability insurance, vehicle cost, office expense)</t>
    </r>
  </si>
  <si>
    <t>Budget . Master</t>
  </si>
  <si>
    <t>bushel</t>
  </si>
  <si>
    <t>gallon</t>
  </si>
  <si>
    <t>pound</t>
  </si>
  <si>
    <t>ounce</t>
  </si>
  <si>
    <t>pint</t>
  </si>
  <si>
    <t>quart</t>
  </si>
  <si>
    <t>hour</t>
  </si>
  <si>
    <t>acre-inch</t>
  </si>
  <si>
    <t>lbs N</t>
  </si>
  <si>
    <t>Corrugate</t>
  </si>
  <si>
    <t>32-0-0</t>
  </si>
  <si>
    <t>Basagran</t>
  </si>
  <si>
    <t>Asana XL</t>
  </si>
  <si>
    <t>Scouting Irrigated Corn</t>
  </si>
  <si>
    <t>Scouting Irrigated SB</t>
  </si>
  <si>
    <t>Scouting Drybeans</t>
  </si>
  <si>
    <t>Scouting Sugar Beets</t>
  </si>
  <si>
    <t>Scouting Grain Sorghum</t>
  </si>
  <si>
    <t>Scouting Wheat</t>
  </si>
  <si>
    <t>Overhead Cost per Acre</t>
  </si>
  <si>
    <t>none</t>
  </si>
  <si>
    <t>ai</t>
  </si>
  <si>
    <t>Acre</t>
  </si>
  <si>
    <t>Raptor</t>
  </si>
  <si>
    <t>Outlook</t>
  </si>
  <si>
    <t>Prowl H2O</t>
  </si>
  <si>
    <t>Copper</t>
  </si>
  <si>
    <t>Mustang Max EC</t>
  </si>
  <si>
    <t>Brigade 2EC</t>
  </si>
  <si>
    <t>Index</t>
  </si>
  <si>
    <t>/ Gal.</t>
  </si>
  <si>
    <t>Large Tractor</t>
  </si>
  <si>
    <t>Medium Tractor</t>
  </si>
  <si>
    <t xml:space="preserve">Forage harvester(SP) </t>
  </si>
  <si>
    <t>Aim 2EC</t>
  </si>
  <si>
    <t>Dryland (State)</t>
  </si>
  <si>
    <t>Scouting Dryland Corn</t>
  </si>
  <si>
    <t>Combine Dryland Corn</t>
  </si>
  <si>
    <t>Dryland (Southwest)</t>
  </si>
  <si>
    <t>Combine Dryland SG</t>
  </si>
  <si>
    <t>Scouting Dryland Soybeans</t>
  </si>
  <si>
    <t>Combine Dryland SB</t>
  </si>
  <si>
    <t>Dryland (Panhandle)</t>
  </si>
  <si>
    <t>The following individuals contributed to these budgets in their specialty area</t>
  </si>
  <si>
    <t>Robert Wright</t>
  </si>
  <si>
    <t>rwright@unl.edu</t>
  </si>
  <si>
    <t>tjackson3@unl.edu</t>
  </si>
  <si>
    <t>Tamra Jackson</t>
  </si>
  <si>
    <t>Loren Giesler</t>
  </si>
  <si>
    <t>lgiesler@unl.edu</t>
  </si>
  <si>
    <t>swegulo2@unl.edu</t>
  </si>
  <si>
    <t>Research and Extension Entomologist</t>
  </si>
  <si>
    <t>Ally Extra SGW/TOTSOL</t>
  </si>
  <si>
    <t>Authority First DF</t>
  </si>
  <si>
    <t>Lumax EZ</t>
  </si>
  <si>
    <t>kw</t>
  </si>
  <si>
    <t>Electricity Usage</t>
  </si>
  <si>
    <t>RR2 Soybeans</t>
  </si>
  <si>
    <t>Distinct</t>
  </si>
  <si>
    <t xml:space="preserve">21-0-0-24S   </t>
  </si>
  <si>
    <t>Status</t>
  </si>
  <si>
    <t>Laudis</t>
  </si>
  <si>
    <t>Rugged</t>
  </si>
  <si>
    <t>Headline AMP</t>
  </si>
  <si>
    <t>Valor XLT</t>
  </si>
  <si>
    <t>Crop</t>
  </si>
  <si>
    <t>Corn Irrigated</t>
  </si>
  <si>
    <t>Corn Dryland</t>
  </si>
  <si>
    <t>Soybeans Irrigated</t>
  </si>
  <si>
    <t>Soybeans Dryland</t>
  </si>
  <si>
    <t>Drybeans</t>
  </si>
  <si>
    <t>Sugar Beets</t>
  </si>
  <si>
    <t>Wheat Fallowed</t>
  </si>
  <si>
    <t>Wheat Irrigated</t>
  </si>
  <si>
    <t>Grain Sorghum Dryland</t>
  </si>
  <si>
    <t>Grain Sorghum Irrigated</t>
  </si>
  <si>
    <t>Premiium</t>
  </si>
  <si>
    <t>Wheat After Crop</t>
  </si>
  <si>
    <t xml:space="preserve">Wagon </t>
  </si>
  <si>
    <t>Budget</t>
  </si>
  <si>
    <t>County</t>
  </si>
  <si>
    <t>N/A</t>
  </si>
  <si>
    <t>Buffalo</t>
  </si>
  <si>
    <t>Cheyenne</t>
  </si>
  <si>
    <t>Jefferson</t>
  </si>
  <si>
    <t>Burt</t>
  </si>
  <si>
    <t>Box Butte</t>
  </si>
  <si>
    <t>Perkins</t>
  </si>
  <si>
    <t>Keith</t>
  </si>
  <si>
    <t>Electricity Fixed</t>
  </si>
  <si>
    <t>Quadris</t>
  </si>
  <si>
    <t>Additive</t>
  </si>
  <si>
    <t>Load Large Square Bales</t>
  </si>
  <si>
    <t>Drill w/ Fertillizer</t>
  </si>
  <si>
    <t>Alfalfa RR w/ Inoculant</t>
  </si>
  <si>
    <t>Roundup WeatherMax</t>
  </si>
  <si>
    <t>Corn Bt, ECB, RW &amp; RR2</t>
  </si>
  <si>
    <t>Corn RR2</t>
  </si>
  <si>
    <t>Capture LFR</t>
  </si>
  <si>
    <t>Atrazine 90 DF</t>
  </si>
  <si>
    <t>32-0-0 (Applied by R2)</t>
  </si>
  <si>
    <t>Stratego YLD</t>
  </si>
  <si>
    <t>Huskie</t>
  </si>
  <si>
    <t>Priaxor</t>
  </si>
  <si>
    <t xml:space="preserve">Corn SmartStax RIB Complete </t>
  </si>
  <si>
    <t>Quilt Xcel</t>
  </si>
  <si>
    <t>Wheat (certified and treated)</t>
  </si>
  <si>
    <t>PivotD 125’Lift w/fertigation</t>
  </si>
  <si>
    <t>Irrigation District O&amp;M Charge</t>
  </si>
  <si>
    <t>Plow</t>
  </si>
  <si>
    <t>Roller Harrow</t>
  </si>
  <si>
    <t>Plow - Moldboard</t>
  </si>
  <si>
    <t xml:space="preserve">Plows </t>
  </si>
  <si>
    <t>Spray (on Field Cultivator)</t>
  </si>
  <si>
    <t>Spray (on Disk)</t>
  </si>
  <si>
    <t>Spray (Prior Year Stubble)</t>
  </si>
  <si>
    <t>Velpar 75DF</t>
  </si>
  <si>
    <t>PivotE 125’Lift w/fertigation</t>
  </si>
  <si>
    <t>Combine Small Grain</t>
  </si>
  <si>
    <t>32-0-0 (Applied by Pivot)</t>
  </si>
  <si>
    <t>Vida</t>
  </si>
  <si>
    <t>Peas</t>
  </si>
  <si>
    <t>Pea Seed Innoculent</t>
  </si>
  <si>
    <t>Sharpen</t>
  </si>
  <si>
    <t>Combine Sunflowers</t>
  </si>
  <si>
    <t>Budget 13. Alfalfa</t>
  </si>
  <si>
    <t>Spray fertilizer and herbicide</t>
  </si>
  <si>
    <t>Rod Weeder &amp; Fertilizer</t>
  </si>
  <si>
    <t>Spray Fertilizer</t>
  </si>
  <si>
    <t>Ridge plant and band herb.</t>
  </si>
  <si>
    <t>Dry 2 Points Removed</t>
  </si>
  <si>
    <t>Corn ECB &amp; RR2</t>
  </si>
  <si>
    <t xml:space="preserve">Does Crop Follow a Legume? </t>
  </si>
  <si>
    <t>Yes</t>
  </si>
  <si>
    <t>No</t>
  </si>
  <si>
    <t>k seeds</t>
  </si>
  <si>
    <t>Buctril 4E</t>
  </si>
  <si>
    <t>RR Soybeans Treated</t>
  </si>
  <si>
    <t>RR2 Soybeans Treated</t>
  </si>
  <si>
    <t>Bale Lg Sq 1360 lb</t>
  </si>
  <si>
    <t>Combine Irrigated Dry Beans with Draper Flex Platform</t>
  </si>
  <si>
    <t>Gramoxone SL</t>
  </si>
  <si>
    <t xml:space="preserve">Mower-conditioner </t>
  </si>
  <si>
    <t>Sunflower Dryland</t>
  </si>
  <si>
    <t>Sunflower Irrigated</t>
  </si>
  <si>
    <t>Farm Wide Inputs</t>
  </si>
  <si>
    <t>Alfalfa</t>
  </si>
  <si>
    <t>Dry Beans</t>
  </si>
  <si>
    <t>Grain Sorghum</t>
  </si>
  <si>
    <t>Grass</t>
  </si>
  <si>
    <t>Grass Hay</t>
  </si>
  <si>
    <t>Pasture</t>
  </si>
  <si>
    <t>Sorghum-Sudan</t>
  </si>
  <si>
    <t>Soybeans</t>
  </si>
  <si>
    <t>Wheat</t>
  </si>
  <si>
    <t>Pivot (Marginal Land)</t>
  </si>
  <si>
    <t>Ridge Cultivate/Ditch</t>
  </si>
  <si>
    <t>Atrazine 4L</t>
  </si>
  <si>
    <t>Corn Dryland Ecofallow</t>
  </si>
  <si>
    <t>Cover Crop</t>
  </si>
  <si>
    <t>Cover Crop Legume</t>
  </si>
  <si>
    <t>32-0-0 (Additive)</t>
  </si>
  <si>
    <t>Extension Plant Pathologist - Corn and Sorghum</t>
  </si>
  <si>
    <t>Extension Plant Pathologist - Soybean and Turf</t>
  </si>
  <si>
    <t>Paul J. Jasa</t>
  </si>
  <si>
    <t>Extension Engineer</t>
  </si>
  <si>
    <t>pjasa1@unl.edu</t>
  </si>
  <si>
    <t>Stephen N. Wegulo</t>
  </si>
  <si>
    <t>Extension Plant Pathologist - Wheat and Ornamental</t>
  </si>
  <si>
    <t>Robert G. Wilson</t>
  </si>
  <si>
    <t>Weed Management Specialist</t>
  </si>
  <si>
    <t>rwilson5@unl.edu</t>
  </si>
  <si>
    <t>Gary W. Hergert</t>
  </si>
  <si>
    <t>Soil and Nutrition Management Specialist</t>
  </si>
  <si>
    <t>ghergert1@unl.edu</t>
  </si>
  <si>
    <t>James A. Schild</t>
  </si>
  <si>
    <t>Extension Educator in Scotts Bluff and Morrill Counties</t>
  </si>
  <si>
    <t>jschild1@unl.edu</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</si>
</sst>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8" formatCode="&quot;$&quot;#,##0.00_);[Red]\(&quot;$&quot;#,##0.00\)"/>
    <numFmt numFmtId="44" formatCode="_(&quot;$&quot;* #,##0.00_);_(&quot;$&quot;* \(#,##0.00\);_(&quot;$&quot;* &quot;-&quot;??_);_(@_)"/>
    <numFmt numFmtId="43" formatCode="_(* #,##0.00_);_(* \(#,##0.00\);_(* &quot;-&quot;??_);_(@_)"/>
    <numFmt numFmtId="164" formatCode="_(* #,##0_);_(* \(#,##0\);_(* &quot;-&quot;??_);_(@_)"/>
    <numFmt numFmtId="165" formatCode="_(&quot;$&quot;* #,##0.0000_);_(&quot;$&quot;* \(#,##0.0000\);_(&quot;$&quot;* &quot;-&quot;??_);_(@_)"/>
    <numFmt numFmtId="166" formatCode="_(* #,##0.0000_);_(* \(#,##0.0000\);_(* &quot;-&quot;??_);_(@_)"/>
    <numFmt numFmtId="167" formatCode="_(&quot;$&quot;* #,##0_);_(&quot;$&quot;* \(#,##0\);_(&quot;$&quot;* &quot;-&quot;??_);_(@_)"/>
  </numFmts>
  <fonts count="31" x14ac:knownFonts="1">
    <font>
      <sz val="10"/>
      <color theme="1"/>
      <name val="Arial"/>
      <family val="2"/>
    </font>
    <font>
      <sz val="10"/>
      <color theme="1"/>
      <name val="Arial"/>
      <family val="2"/>
    </font>
    <font>
      <b/>
      <sz val="10"/>
      <color theme="1"/>
      <name val="Arial"/>
      <family val="2"/>
    </font>
    <font>
      <sz val="10"/>
      <color theme="0"/>
      <name val="Arial"/>
      <family val="2"/>
    </font>
    <font>
      <b/>
      <sz val="10"/>
      <name val="Arial"/>
      <family val="2"/>
    </font>
    <font>
      <sz val="10"/>
      <name val="Arial"/>
      <family val="2"/>
    </font>
    <font>
      <sz val="9"/>
      <name val="Arial"/>
      <family val="2"/>
    </font>
    <font>
      <sz val="8"/>
      <color indexed="81"/>
      <name val="Tahoma"/>
      <family val="2"/>
    </font>
    <font>
      <b/>
      <sz val="8"/>
      <color indexed="81"/>
      <name val="Tahoma"/>
      <family val="2"/>
    </font>
    <font>
      <sz val="10"/>
      <color rgb="FF000000"/>
      <name val="Arial"/>
      <family val="2"/>
    </font>
    <font>
      <sz val="12"/>
      <color indexed="63"/>
      <name val="Calibri"/>
      <family val="2"/>
      <scheme val="minor"/>
    </font>
    <font>
      <sz val="12"/>
      <name val="Calibri"/>
      <family val="2"/>
      <scheme val="minor"/>
    </font>
    <font>
      <i/>
      <sz val="12"/>
      <color indexed="63"/>
      <name val="Calibri"/>
      <family val="2"/>
      <scheme val="minor"/>
    </font>
    <font>
      <sz val="14"/>
      <color theme="1"/>
      <name val="Arial"/>
      <family val="2"/>
    </font>
    <font>
      <b/>
      <sz val="10"/>
      <color rgb="FFFFFF00"/>
      <name val="Arial"/>
      <family val="2"/>
    </font>
    <font>
      <sz val="10"/>
      <color rgb="FFFFFF00"/>
      <name val="Arial"/>
      <family val="2"/>
    </font>
    <font>
      <sz val="12"/>
      <color rgb="FFFFFF00"/>
      <name val="Calibri"/>
      <family val="2"/>
      <scheme val="minor"/>
    </font>
    <font>
      <i/>
      <sz val="12"/>
      <color rgb="FFFFFF00"/>
      <name val="Calibri"/>
      <family val="2"/>
      <scheme val="minor"/>
    </font>
    <font>
      <sz val="10"/>
      <color theme="1" tint="4.9989318521683403E-2"/>
      <name val="Arial"/>
      <family val="2"/>
    </font>
    <font>
      <sz val="9"/>
      <color rgb="FFFF0000"/>
      <name val="Arial"/>
      <family val="2"/>
    </font>
    <font>
      <sz val="9"/>
      <color theme="1"/>
      <name val="Arial"/>
      <family val="2"/>
    </font>
    <font>
      <sz val="9"/>
      <color rgb="FF0070C0"/>
      <name val="Arial"/>
      <family val="2"/>
    </font>
    <font>
      <sz val="10"/>
      <color rgb="FF0070C0"/>
      <name val="Arial"/>
      <family val="2"/>
    </font>
    <font>
      <sz val="9"/>
      <color rgb="FF00B0F0"/>
      <name val="Arial"/>
      <family val="2"/>
    </font>
    <font>
      <sz val="8"/>
      <name val="Arial"/>
      <family val="2"/>
    </font>
    <font>
      <b/>
      <sz val="12"/>
      <color rgb="FFFF0000"/>
      <name val="Arial"/>
      <family val="2"/>
    </font>
    <font>
      <b/>
      <sz val="10"/>
      <color indexed="8"/>
      <name val="Arial"/>
      <family val="2"/>
    </font>
    <font>
      <u/>
      <sz val="10"/>
      <color theme="10"/>
      <name val="Arial"/>
      <family val="2"/>
    </font>
    <font>
      <b/>
      <sz val="12"/>
      <name val="Arial"/>
      <family val="2"/>
    </font>
    <font>
      <b/>
      <sz val="12"/>
      <color theme="1"/>
      <name val="Arial"/>
      <family val="2"/>
    </font>
    <font>
      <sz val="26"/>
      <color theme="1"/>
      <name val="Arial"/>
      <family val="2"/>
    </font>
  </fonts>
  <fills count="7">
    <fill>
      <patternFill patternType="none"/>
    </fill>
    <fill>
      <patternFill patternType="gray125"/>
    </fill>
    <fill>
      <patternFill patternType="solid">
        <fgColor theme="5" tint="0.79998168889431442"/>
        <bgColor theme="5" tint="0.79998168889431442"/>
      </patternFill>
    </fill>
    <fill>
      <patternFill patternType="solid">
        <fgColor theme="0" tint="-0.14999847407452621"/>
        <bgColor indexed="64"/>
      </patternFill>
    </fill>
    <fill>
      <patternFill patternType="solid">
        <fgColor theme="0"/>
        <bgColor indexed="64"/>
      </patternFill>
    </fill>
    <fill>
      <patternFill patternType="solid">
        <fgColor rgb="FFFFFF99"/>
        <bgColor indexed="64"/>
      </patternFill>
    </fill>
    <fill>
      <patternFill patternType="solid">
        <fgColor theme="3" tint="0.79998168889431442"/>
        <bgColor indexed="64"/>
      </patternFill>
    </fill>
  </fills>
  <borders count="26">
    <border>
      <left/>
      <right/>
      <top/>
      <bottom/>
      <diagonal/>
    </border>
    <border>
      <left/>
      <right/>
      <top style="thin">
        <color theme="4" tint="0.39997558519241921"/>
      </top>
      <bottom style="thin">
        <color theme="4" tint="0.39997558519241921"/>
      </bottom>
      <diagonal/>
    </border>
    <border>
      <left/>
      <right/>
      <top/>
      <bottom style="thin">
        <color theme="4" tint="0.39997558519241921"/>
      </bottom>
      <diagonal/>
    </border>
    <border>
      <left/>
      <right/>
      <top/>
      <bottom style="double">
        <color indexed="64"/>
      </bottom>
      <diagonal/>
    </border>
    <border>
      <left/>
      <right/>
      <top/>
      <bottom style="thin">
        <color indexed="64"/>
      </bottom>
      <diagonal/>
    </border>
    <border>
      <left style="thin">
        <color theme="5" tint="0.39997558519241921"/>
      </left>
      <right/>
      <top/>
      <bottom style="thin">
        <color theme="5" tint="0.39997558519241921"/>
      </bottom>
      <diagonal/>
    </border>
    <border>
      <left/>
      <right/>
      <top/>
      <bottom style="thin">
        <color theme="5" tint="0.39997558519241921"/>
      </bottom>
      <diagonal/>
    </border>
    <border>
      <left/>
      <right style="thin">
        <color theme="5" tint="0.39997558519241921"/>
      </right>
      <top/>
      <bottom style="thin">
        <color theme="5" tint="0.39997558519241921"/>
      </bottom>
      <diagonal/>
    </border>
    <border>
      <left/>
      <right/>
      <top style="thin">
        <color theme="5" tint="0.39997558519241921"/>
      </top>
      <bottom style="thin">
        <color theme="5" tint="0.39997558519241921"/>
      </bottom>
      <diagonal/>
    </border>
    <border>
      <left style="thin">
        <color theme="4" tint="0.39997558519241921"/>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style="thin">
        <color theme="4" tint="0.39997558519241921"/>
      </left>
      <right/>
      <top/>
      <bottom style="thin">
        <color theme="4" tint="0.39997558519241921"/>
      </bottom>
      <diagonal/>
    </border>
    <border>
      <left/>
      <right style="thin">
        <color theme="4" tint="0.39997558519241921"/>
      </right>
      <top/>
      <bottom style="thin">
        <color theme="4" tint="0.39997558519241921"/>
      </bottom>
      <diagonal/>
    </border>
    <border>
      <left style="thin">
        <color theme="5" tint="0.39997558519241921"/>
      </left>
      <right/>
      <top style="thin">
        <color theme="5" tint="0.39997558519241921"/>
      </top>
      <bottom style="thin">
        <color theme="5" tint="0.39997558519241921"/>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rgb="FFFF0000"/>
      </left>
      <right style="thin">
        <color rgb="FFFF0000"/>
      </right>
      <top style="thin">
        <color rgb="FFFF0000"/>
      </top>
      <bottom style="thin">
        <color rgb="FFFF0000"/>
      </bottom>
      <diagonal/>
    </border>
    <border>
      <left style="thin">
        <color rgb="FFFF0000"/>
      </left>
      <right style="thin">
        <color rgb="FFFF0000"/>
      </right>
      <top style="thin">
        <color rgb="FFFF0000"/>
      </top>
      <bottom style="double">
        <color rgb="FFFF0000"/>
      </bottom>
      <diagonal/>
    </border>
    <border>
      <left style="thin">
        <color rgb="FFFF0000"/>
      </left>
      <right style="thin">
        <color rgb="FFFF0000"/>
      </right>
      <top/>
      <bottom style="thin">
        <color rgb="FFFF0000"/>
      </bottom>
      <diagonal/>
    </border>
    <border>
      <left/>
      <right style="thin">
        <color rgb="FFFF0000"/>
      </right>
      <top/>
      <bottom style="thin">
        <color rgb="FFFF0000"/>
      </bottom>
      <diagonal/>
    </border>
    <border>
      <left style="thin">
        <color rgb="FFFF0000"/>
      </left>
      <right/>
      <top/>
      <bottom style="thin">
        <color rgb="FFFF0000"/>
      </bottom>
      <diagonal/>
    </border>
    <border>
      <left style="thin">
        <color rgb="FFFF0000"/>
      </left>
      <right/>
      <top style="thin">
        <color rgb="FFFF0000"/>
      </top>
      <bottom style="double">
        <color rgb="FFFF0000"/>
      </bottom>
      <diagonal/>
    </border>
    <border>
      <left/>
      <right style="thin">
        <color rgb="FFFF0000"/>
      </right>
      <top style="thin">
        <color rgb="FFFF0000"/>
      </top>
      <bottom style="double">
        <color rgb="FFFF0000"/>
      </bottom>
      <diagonal/>
    </border>
  </borders>
  <cellStyleXfs count="5">
    <xf numFmtId="0" fontId="0" fillId="0" borderId="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27" fillId="0" borderId="0" applyNumberFormat="0" applyFill="0" applyBorder="0" applyAlignment="0" applyProtection="0">
      <alignment vertical="top"/>
      <protection locked="0"/>
    </xf>
  </cellStyleXfs>
  <cellXfs count="335">
    <xf numFmtId="0" fontId="0" fillId="0" borderId="0" xfId="0"/>
    <xf numFmtId="0" fontId="5" fillId="0" borderId="0" xfId="0" applyFont="1" applyFill="1"/>
    <xf numFmtId="0" fontId="0" fillId="0" borderId="0" xfId="0"/>
    <xf numFmtId="0" fontId="11" fillId="0" borderId="0" xfId="0" applyNumberFormat="1" applyFont="1" applyFill="1" applyBorder="1" applyAlignment="1" applyProtection="1"/>
    <xf numFmtId="0" fontId="11" fillId="0" borderId="0" xfId="0" applyNumberFormat="1" applyFont="1" applyFill="1" applyBorder="1" applyAlignment="1" applyProtection="1">
      <alignment horizontal="center"/>
    </xf>
    <xf numFmtId="37" fontId="11" fillId="0" borderId="0" xfId="1" applyNumberFormat="1" applyFont="1" applyFill="1" applyAlignment="1" applyProtection="1"/>
    <xf numFmtId="37" fontId="11" fillId="0" borderId="0" xfId="1" applyNumberFormat="1" applyFont="1" applyFill="1" applyBorder="1" applyAlignment="1" applyProtection="1"/>
    <xf numFmtId="0" fontId="11" fillId="0" borderId="6" xfId="0" applyNumberFormat="1" applyFont="1" applyFill="1" applyBorder="1" applyAlignment="1"/>
    <xf numFmtId="0" fontId="11" fillId="2" borderId="6" xfId="0" applyNumberFormat="1" applyFont="1" applyFill="1" applyBorder="1" applyAlignment="1"/>
    <xf numFmtId="0" fontId="15" fillId="0" borderId="0" xfId="0" applyNumberFormat="1" applyFont="1" applyFill="1" applyBorder="1" applyAlignment="1" applyProtection="1">
      <alignment vertical="top"/>
    </xf>
    <xf numFmtId="0" fontId="16" fillId="0" borderId="0" xfId="0" applyNumberFormat="1" applyFont="1" applyFill="1" applyBorder="1" applyAlignment="1" applyProtection="1">
      <alignment vertical="top"/>
    </xf>
    <xf numFmtId="2" fontId="5" fillId="0" borderId="0" xfId="0" applyNumberFormat="1" applyFont="1" applyFill="1"/>
    <xf numFmtId="8" fontId="0" fillId="0" borderId="0" xfId="0" applyNumberFormat="1"/>
    <xf numFmtId="0" fontId="11" fillId="2" borderId="8" xfId="0" applyNumberFormat="1" applyFont="1" applyFill="1" applyBorder="1" applyAlignment="1"/>
    <xf numFmtId="0" fontId="11" fillId="2" borderId="13" xfId="0" applyNumberFormat="1" applyFont="1" applyFill="1" applyBorder="1" applyAlignment="1">
      <alignment wrapText="1"/>
    </xf>
    <xf numFmtId="0" fontId="11" fillId="0" borderId="5" xfId="0" applyNumberFormat="1" applyFont="1" applyFill="1" applyBorder="1" applyAlignment="1">
      <alignment wrapText="1"/>
    </xf>
    <xf numFmtId="0" fontId="11" fillId="2" borderId="5" xfId="0" applyNumberFormat="1" applyFont="1" applyFill="1" applyBorder="1" applyAlignment="1">
      <alignment wrapText="1"/>
    </xf>
    <xf numFmtId="0" fontId="11" fillId="2" borderId="8" xfId="0" applyNumberFormat="1" applyFont="1" applyFill="1" applyBorder="1" applyAlignment="1">
      <alignment wrapText="1"/>
    </xf>
    <xf numFmtId="0" fontId="11" fillId="0" borderId="6" xfId="0" applyNumberFormat="1" applyFont="1" applyFill="1" applyBorder="1" applyAlignment="1">
      <alignment wrapText="1"/>
    </xf>
    <xf numFmtId="0" fontId="11" fillId="2" borderId="6" xfId="0" applyNumberFormat="1" applyFont="1" applyFill="1" applyBorder="1" applyAlignment="1">
      <alignment wrapText="1"/>
    </xf>
    <xf numFmtId="0" fontId="0" fillId="0" borderId="0" xfId="0" applyFill="1"/>
    <xf numFmtId="43" fontId="5" fillId="0" borderId="3" xfId="0" applyNumberFormat="1" applyFont="1" applyBorder="1"/>
    <xf numFmtId="2" fontId="5" fillId="0" borderId="0" xfId="0" applyNumberFormat="1" applyFont="1" applyBorder="1" applyAlignment="1"/>
    <xf numFmtId="0" fontId="4" fillId="0" borderId="0" xfId="0" applyFont="1" applyFill="1"/>
    <xf numFmtId="0" fontId="4" fillId="0" borderId="0" xfId="0" applyFont="1" applyFill="1" applyAlignment="1">
      <alignment horizontal="right"/>
    </xf>
    <xf numFmtId="2" fontId="5" fillId="0" borderId="0" xfId="3" applyNumberFormat="1" applyFont="1"/>
    <xf numFmtId="2" fontId="5" fillId="0" borderId="3" xfId="3" applyNumberFormat="1" applyFont="1" applyBorder="1"/>
    <xf numFmtId="0" fontId="0" fillId="4" borderId="0" xfId="0" applyFill="1"/>
    <xf numFmtId="0" fontId="5" fillId="4" borderId="15" xfId="0" applyFont="1" applyFill="1" applyBorder="1" applyAlignment="1">
      <alignment wrapText="1"/>
    </xf>
    <xf numFmtId="0" fontId="5" fillId="4" borderId="15" xfId="0" applyFont="1" applyFill="1" applyBorder="1"/>
    <xf numFmtId="0" fontId="0" fillId="4" borderId="15" xfId="0" applyFill="1" applyBorder="1"/>
    <xf numFmtId="0" fontId="25" fillId="4" borderId="0" xfId="0" applyFont="1" applyFill="1" applyAlignment="1">
      <alignment wrapText="1"/>
    </xf>
    <xf numFmtId="0" fontId="4" fillId="0" borderId="0" xfId="0" applyFont="1" applyFill="1" applyBorder="1"/>
    <xf numFmtId="0" fontId="5" fillId="0" borderId="0" xfId="0" applyFont="1" applyFill="1" applyBorder="1"/>
    <xf numFmtId="2" fontId="0" fillId="0" borderId="0" xfId="0" applyNumberFormat="1" applyFill="1"/>
    <xf numFmtId="2" fontId="0" fillId="0" borderId="0" xfId="0" applyNumberFormat="1" applyFill="1" applyBorder="1"/>
    <xf numFmtId="2" fontId="5" fillId="0" borderId="0" xfId="0" applyNumberFormat="1" applyFont="1" applyFill="1" applyBorder="1"/>
    <xf numFmtId="2" fontId="0" fillId="0" borderId="3" xfId="0" applyNumberFormat="1" applyFill="1" applyBorder="1"/>
    <xf numFmtId="0" fontId="0" fillId="0" borderId="0" xfId="0" applyFill="1" applyBorder="1"/>
    <xf numFmtId="0" fontId="3" fillId="0" borderId="0" xfId="0" applyFont="1" applyFill="1"/>
    <xf numFmtId="0" fontId="2" fillId="0" borderId="0" xfId="0" applyFont="1" applyFill="1"/>
    <xf numFmtId="0" fontId="0" fillId="0" borderId="4" xfId="0" applyFill="1" applyBorder="1"/>
    <xf numFmtId="0" fontId="0" fillId="0" borderId="18" xfId="0" applyFill="1" applyBorder="1"/>
    <xf numFmtId="0" fontId="0" fillId="0" borderId="3" xfId="0" applyFill="1" applyBorder="1" applyProtection="1">
      <protection locked="0"/>
    </xf>
    <xf numFmtId="0" fontId="0" fillId="0" borderId="3" xfId="0" applyFill="1" applyBorder="1" applyAlignment="1" applyProtection="1">
      <alignment horizontal="center"/>
      <protection locked="0"/>
    </xf>
    <xf numFmtId="0" fontId="0" fillId="0" borderId="3" xfId="0" applyFill="1" applyBorder="1"/>
    <xf numFmtId="0" fontId="2" fillId="0" borderId="0" xfId="0" applyFont="1" applyFill="1" applyAlignment="1">
      <alignment horizontal="right"/>
    </xf>
    <xf numFmtId="0" fontId="2" fillId="0" borderId="0" xfId="0" applyFont="1" applyFill="1" applyAlignment="1">
      <alignment wrapText="1"/>
    </xf>
    <xf numFmtId="0" fontId="2" fillId="0" borderId="3" xfId="0" applyFont="1" applyFill="1" applyBorder="1" applyAlignment="1">
      <alignment wrapText="1"/>
    </xf>
    <xf numFmtId="0" fontId="0" fillId="0" borderId="0" xfId="0" applyFill="1" applyBorder="1" applyAlignment="1">
      <alignment horizontal="left"/>
    </xf>
    <xf numFmtId="2" fontId="0" fillId="0" borderId="0" xfId="0" applyNumberFormat="1" applyFill="1" applyBorder="1" applyAlignment="1">
      <alignment horizontal="center"/>
    </xf>
    <xf numFmtId="0" fontId="0" fillId="0" borderId="3" xfId="0" applyFill="1" applyBorder="1" applyAlignment="1">
      <alignment horizontal="center"/>
    </xf>
    <xf numFmtId="9" fontId="0" fillId="0" borderId="3" xfId="2" applyFont="1" applyFill="1" applyBorder="1" applyAlignment="1" applyProtection="1">
      <alignment horizontal="center"/>
      <protection locked="0"/>
    </xf>
    <xf numFmtId="0" fontId="0" fillId="0" borderId="3" xfId="0" applyFill="1" applyBorder="1" applyAlignment="1" applyProtection="1">
      <protection locked="0"/>
    </xf>
    <xf numFmtId="0" fontId="0" fillId="0" borderId="3" xfId="0" applyFill="1" applyBorder="1" applyAlignment="1">
      <alignment horizontal="left"/>
    </xf>
    <xf numFmtId="2" fontId="0" fillId="0" borderId="3" xfId="0" applyNumberFormat="1" applyFill="1" applyBorder="1" applyAlignment="1">
      <alignment horizontal="center"/>
    </xf>
    <xf numFmtId="0" fontId="0" fillId="0" borderId="0" xfId="0" applyFill="1" applyAlignment="1">
      <alignment horizontal="right"/>
    </xf>
    <xf numFmtId="44" fontId="5" fillId="0" borderId="0" xfId="1" applyFont="1" applyFill="1"/>
    <xf numFmtId="10" fontId="0" fillId="0" borderId="0" xfId="0" applyNumberFormat="1" applyFill="1"/>
    <xf numFmtId="43" fontId="0" fillId="0" borderId="0" xfId="0" applyNumberFormat="1" applyFill="1"/>
    <xf numFmtId="0" fontId="0" fillId="0" borderId="14" xfId="0" applyFill="1" applyBorder="1"/>
    <xf numFmtId="0" fontId="5" fillId="0" borderId="0" xfId="0" applyFont="1" applyFill="1" applyBorder="1" applyAlignment="1"/>
    <xf numFmtId="0" fontId="9" fillId="0" borderId="0" xfId="0" applyFont="1" applyFill="1" applyBorder="1" applyAlignment="1"/>
    <xf numFmtId="167" fontId="0" fillId="0" borderId="0" xfId="1" applyNumberFormat="1" applyFont="1" applyFill="1"/>
    <xf numFmtId="167" fontId="5" fillId="0" borderId="0" xfId="1" applyNumberFormat="1" applyFont="1" applyFill="1"/>
    <xf numFmtId="10" fontId="5" fillId="0" borderId="0" xfId="0" applyNumberFormat="1" applyFont="1" applyFill="1"/>
    <xf numFmtId="0" fontId="5" fillId="0" borderId="4" xfId="0" applyFont="1" applyFill="1" applyBorder="1"/>
    <xf numFmtId="0" fontId="5" fillId="5" borderId="0" xfId="0" applyFont="1" applyFill="1" applyBorder="1" applyAlignment="1" applyProtection="1">
      <alignment horizontal="center"/>
      <protection locked="0"/>
    </xf>
    <xf numFmtId="0" fontId="0" fillId="5" borderId="0" xfId="0" applyFill="1" applyBorder="1" applyAlignment="1" applyProtection="1">
      <alignment horizontal="center"/>
      <protection locked="0"/>
    </xf>
    <xf numFmtId="0" fontId="0" fillId="5" borderId="0" xfId="0" applyFill="1" applyBorder="1" applyProtection="1">
      <protection locked="0"/>
    </xf>
    <xf numFmtId="9" fontId="5" fillId="5" borderId="0" xfId="2" applyFont="1" applyFill="1" applyBorder="1" applyAlignment="1" applyProtection="1">
      <alignment horizontal="center"/>
      <protection locked="0"/>
    </xf>
    <xf numFmtId="9" fontId="0" fillId="5" borderId="0" xfId="2" applyFont="1" applyFill="1" applyBorder="1" applyAlignment="1" applyProtection="1">
      <alignment horizontal="center"/>
      <protection locked="0"/>
    </xf>
    <xf numFmtId="44" fontId="5" fillId="5" borderId="15" xfId="1" applyFont="1" applyFill="1" applyBorder="1" applyProtection="1">
      <protection locked="0"/>
    </xf>
    <xf numFmtId="165" fontId="5" fillId="5" borderId="15" xfId="1" applyNumberFormat="1" applyFont="1" applyFill="1" applyBorder="1" applyProtection="1">
      <protection locked="0"/>
    </xf>
    <xf numFmtId="0" fontId="5" fillId="5" borderId="15" xfId="0" applyFont="1" applyFill="1" applyBorder="1" applyAlignment="1" applyProtection="1">
      <alignment wrapText="1"/>
      <protection locked="0"/>
    </xf>
    <xf numFmtId="0" fontId="0" fillId="5" borderId="15" xfId="0" applyFill="1" applyBorder="1" applyProtection="1">
      <protection locked="0"/>
    </xf>
    <xf numFmtId="10" fontId="5" fillId="5" borderId="15" xfId="2" applyNumberFormat="1" applyFont="1" applyFill="1" applyBorder="1" applyProtection="1">
      <protection locked="0"/>
    </xf>
    <xf numFmtId="43" fontId="5" fillId="5" borderId="15" xfId="3" applyFont="1" applyFill="1" applyBorder="1" applyProtection="1">
      <protection locked="0"/>
    </xf>
    <xf numFmtId="0" fontId="5" fillId="0" borderId="15" xfId="0" applyFont="1" applyFill="1" applyBorder="1" applyAlignment="1" applyProtection="1">
      <alignment wrapText="1"/>
    </xf>
    <xf numFmtId="0" fontId="5" fillId="0" borderId="15" xfId="0" quotePrefix="1" applyFont="1" applyFill="1" applyBorder="1" applyProtection="1"/>
    <xf numFmtId="0" fontId="0" fillId="0" borderId="15" xfId="0" applyFill="1" applyBorder="1" applyProtection="1"/>
    <xf numFmtId="0" fontId="5" fillId="0" borderId="15" xfId="0" applyFont="1" applyFill="1" applyBorder="1" applyProtection="1"/>
    <xf numFmtId="0" fontId="0" fillId="5" borderId="0" xfId="0" applyFill="1" applyProtection="1">
      <protection locked="0"/>
    </xf>
    <xf numFmtId="2" fontId="0" fillId="5" borderId="0" xfId="0" applyNumberFormat="1" applyFill="1" applyProtection="1">
      <protection locked="0"/>
    </xf>
    <xf numFmtId="2" fontId="0" fillId="5" borderId="11" xfId="0" applyNumberFormat="1" applyFont="1" applyFill="1" applyBorder="1" applyProtection="1">
      <protection locked="0"/>
    </xf>
    <xf numFmtId="2" fontId="0" fillId="5" borderId="2" xfId="0" applyNumberFormat="1" applyFont="1" applyFill="1" applyBorder="1" applyProtection="1">
      <protection locked="0"/>
    </xf>
    <xf numFmtId="164" fontId="0" fillId="5" borderId="2" xfId="3" applyNumberFormat="1" applyFont="1" applyFill="1" applyBorder="1" applyProtection="1">
      <protection locked="0"/>
    </xf>
    <xf numFmtId="1" fontId="0" fillId="5" borderId="2" xfId="0" applyNumberFormat="1" applyFont="1" applyFill="1" applyBorder="1" applyAlignment="1" applyProtection="1">
      <alignment horizontal="center"/>
      <protection locked="0"/>
    </xf>
    <xf numFmtId="1" fontId="22" fillId="5" borderId="2" xfId="0" applyNumberFormat="1" applyFont="1" applyFill="1" applyBorder="1" applyAlignment="1" applyProtection="1">
      <alignment horizontal="center"/>
      <protection locked="0"/>
    </xf>
    <xf numFmtId="2" fontId="14" fillId="0" borderId="9" xfId="0" applyNumberFormat="1" applyFont="1" applyFill="1" applyBorder="1" applyAlignment="1" applyProtection="1">
      <alignment horizontal="left" wrapText="1"/>
    </xf>
    <xf numFmtId="2" fontId="14" fillId="0" borderId="9" xfId="0" applyNumberFormat="1" applyFont="1" applyFill="1" applyBorder="1" applyAlignment="1" applyProtection="1">
      <alignment horizontal="center" wrapText="1"/>
    </xf>
    <xf numFmtId="2" fontId="14" fillId="0" borderId="1" xfId="0" applyNumberFormat="1" applyFont="1" applyFill="1" applyBorder="1" applyAlignment="1" applyProtection="1">
      <alignment horizontal="center" wrapText="1"/>
    </xf>
    <xf numFmtId="2" fontId="14" fillId="0" borderId="12" xfId="0" applyNumberFormat="1" applyFont="1" applyFill="1" applyBorder="1" applyAlignment="1" applyProtection="1">
      <alignment horizontal="center" wrapText="1"/>
    </xf>
    <xf numFmtId="2" fontId="14" fillId="0" borderId="10" xfId="0" applyNumberFormat="1" applyFont="1" applyFill="1" applyBorder="1" applyAlignment="1" applyProtection="1">
      <alignment horizontal="center" wrapText="1"/>
    </xf>
    <xf numFmtId="0" fontId="0" fillId="0" borderId="0" xfId="0" applyProtection="1"/>
    <xf numFmtId="0" fontId="4" fillId="0" borderId="6" xfId="0" applyNumberFormat="1" applyFont="1" applyFill="1" applyBorder="1" applyAlignment="1" applyProtection="1"/>
    <xf numFmtId="0" fontId="4" fillId="0" borderId="6" xfId="0" applyFont="1" applyFill="1" applyBorder="1" applyProtection="1"/>
    <xf numFmtId="37" fontId="4" fillId="0" borderId="6" xfId="1" applyNumberFormat="1" applyFont="1" applyFill="1" applyBorder="1" applyAlignment="1" applyProtection="1">
      <alignment wrapText="1"/>
    </xf>
    <xf numFmtId="164" fontId="0" fillId="3" borderId="12" xfId="3" applyNumberFormat="1" applyFont="1" applyFill="1" applyBorder="1" applyProtection="1"/>
    <xf numFmtId="2" fontId="0" fillId="3" borderId="12" xfId="0" applyNumberFormat="1" applyFont="1" applyFill="1" applyBorder="1" applyProtection="1"/>
    <xf numFmtId="0" fontId="10" fillId="0" borderId="8" xfId="0" applyNumberFormat="1" applyFont="1" applyFill="1" applyBorder="1" applyAlignment="1" applyProtection="1"/>
    <xf numFmtId="0" fontId="11" fillId="0" borderId="8" xfId="0" applyNumberFormat="1" applyFont="1" applyFill="1" applyBorder="1" applyAlignment="1" applyProtection="1"/>
    <xf numFmtId="0" fontId="11" fillId="0" borderId="8" xfId="0" applyNumberFormat="1" applyFont="1" applyFill="1" applyBorder="1" applyAlignment="1" applyProtection="1">
      <alignment horizontal="center"/>
    </xf>
    <xf numFmtId="37" fontId="11" fillId="0" borderId="8" xfId="1" applyNumberFormat="1" applyFont="1" applyFill="1" applyBorder="1" applyAlignment="1" applyProtection="1"/>
    <xf numFmtId="0" fontId="11" fillId="0" borderId="6" xfId="0" applyNumberFormat="1" applyFont="1" applyFill="1" applyBorder="1" applyAlignment="1" applyProtection="1"/>
    <xf numFmtId="0" fontId="11" fillId="0" borderId="6" xfId="0" applyNumberFormat="1" applyFont="1" applyFill="1" applyBorder="1" applyAlignment="1" applyProtection="1">
      <alignment horizontal="center"/>
    </xf>
    <xf numFmtId="37" fontId="11" fillId="0" borderId="6" xfId="1" applyNumberFormat="1" applyFont="1" applyFill="1" applyBorder="1" applyAlignment="1" applyProtection="1"/>
    <xf numFmtId="0" fontId="14" fillId="0" borderId="2" xfId="0" applyFont="1" applyFill="1" applyBorder="1" applyAlignment="1" applyProtection="1">
      <alignment vertical="top" wrapText="1"/>
    </xf>
    <xf numFmtId="0" fontId="14" fillId="0" borderId="2" xfId="0" applyFont="1" applyFill="1" applyBorder="1" applyAlignment="1" applyProtection="1">
      <alignment horizontal="center" vertical="top" wrapText="1"/>
    </xf>
    <xf numFmtId="2" fontId="14" fillId="0" borderId="2" xfId="0" applyNumberFormat="1" applyFont="1" applyFill="1" applyBorder="1" applyAlignment="1" applyProtection="1">
      <alignment horizontal="center" vertical="top" wrapText="1"/>
    </xf>
    <xf numFmtId="0" fontId="15" fillId="0" borderId="0" xfId="0" applyFont="1" applyFill="1" applyAlignment="1" applyProtection="1">
      <alignment vertical="top" wrapText="1"/>
    </xf>
    <xf numFmtId="0" fontId="15" fillId="0" borderId="0" xfId="0" applyFont="1" applyAlignment="1" applyProtection="1">
      <alignment vertical="top"/>
    </xf>
    <xf numFmtId="0" fontId="15" fillId="0" borderId="0" xfId="0" applyFont="1" applyFill="1" applyAlignment="1" applyProtection="1">
      <alignment vertical="top"/>
    </xf>
    <xf numFmtId="37" fontId="15" fillId="0" borderId="0" xfId="1" applyNumberFormat="1" applyFont="1" applyAlignment="1" applyProtection="1">
      <alignment vertical="top" wrapText="1"/>
    </xf>
    <xf numFmtId="0" fontId="18" fillId="3" borderId="0" xfId="0" applyFont="1" applyFill="1" applyAlignment="1" applyProtection="1">
      <alignment vertical="top" wrapText="1"/>
    </xf>
    <xf numFmtId="43" fontId="0" fillId="3" borderId="12" xfId="3" applyNumberFormat="1" applyFont="1" applyFill="1" applyBorder="1" applyProtection="1"/>
    <xf numFmtId="2" fontId="0" fillId="3" borderId="12" xfId="3" applyNumberFormat="1" applyFont="1" applyFill="1" applyBorder="1" applyProtection="1"/>
    <xf numFmtId="0" fontId="5" fillId="0" borderId="0" xfId="0" applyFont="1" applyFill="1" applyProtection="1"/>
    <xf numFmtId="0" fontId="5" fillId="3" borderId="0" xfId="0" applyFont="1" applyFill="1" applyProtection="1"/>
    <xf numFmtId="0" fontId="0" fillId="0" borderId="0" xfId="0" applyAlignment="1" applyProtection="1">
      <alignment wrapText="1"/>
    </xf>
    <xf numFmtId="0" fontId="0" fillId="0" borderId="0" xfId="0" applyAlignment="1" applyProtection="1">
      <alignment horizontal="center"/>
    </xf>
    <xf numFmtId="166" fontId="0" fillId="3" borderId="12" xfId="3" applyNumberFormat="1" applyFont="1" applyFill="1" applyBorder="1" applyProtection="1"/>
    <xf numFmtId="0" fontId="11" fillId="0" borderId="5" xfId="0" applyNumberFormat="1" applyFont="1" applyFill="1" applyBorder="1" applyAlignment="1" applyProtection="1"/>
    <xf numFmtId="37" fontId="11" fillId="0" borderId="7" xfId="1" applyNumberFormat="1" applyFont="1" applyFill="1" applyBorder="1" applyAlignment="1" applyProtection="1"/>
    <xf numFmtId="0" fontId="11" fillId="2" borderId="5" xfId="0" applyNumberFormat="1" applyFont="1" applyFill="1" applyBorder="1" applyAlignment="1" applyProtection="1"/>
    <xf numFmtId="0" fontId="11" fillId="2" borderId="6" xfId="0" applyNumberFormat="1" applyFont="1" applyFill="1" applyBorder="1" applyAlignment="1" applyProtection="1"/>
    <xf numFmtId="0" fontId="11" fillId="2" borderId="6" xfId="0" applyNumberFormat="1" applyFont="1" applyFill="1" applyBorder="1" applyAlignment="1" applyProtection="1">
      <alignment horizontal="center"/>
    </xf>
    <xf numFmtId="37" fontId="11" fillId="2" borderId="7" xfId="1" applyNumberFormat="1" applyFont="1" applyFill="1" applyBorder="1" applyAlignment="1" applyProtection="1"/>
    <xf numFmtId="164" fontId="0" fillId="3" borderId="12" xfId="3" applyNumberFormat="1" applyFont="1" applyFill="1" applyBorder="1" applyAlignment="1" applyProtection="1">
      <alignment horizontal="center" vertical="top" wrapText="1"/>
    </xf>
    <xf numFmtId="43" fontId="0" fillId="3" borderId="12" xfId="3" applyNumberFormat="1" applyFont="1" applyFill="1" applyBorder="1" applyAlignment="1" applyProtection="1">
      <alignment horizontal="center" vertical="top" wrapText="1"/>
    </xf>
    <xf numFmtId="43" fontId="0" fillId="3" borderId="2" xfId="3" applyNumberFormat="1" applyFont="1" applyFill="1" applyBorder="1" applyAlignment="1" applyProtection="1">
      <alignment horizontal="center" vertical="top" wrapText="1"/>
    </xf>
    <xf numFmtId="2" fontId="0" fillId="3" borderId="2" xfId="3" applyNumberFormat="1" applyFont="1" applyFill="1" applyBorder="1" applyAlignment="1" applyProtection="1">
      <alignment horizontal="center" vertical="top" wrapText="1"/>
    </xf>
    <xf numFmtId="2" fontId="0" fillId="3" borderId="12" xfId="3" applyNumberFormat="1" applyFont="1" applyFill="1" applyBorder="1" applyAlignment="1" applyProtection="1">
      <alignment horizontal="center" vertical="top" wrapText="1"/>
    </xf>
    <xf numFmtId="2" fontId="5" fillId="0" borderId="0" xfId="0" applyNumberFormat="1" applyFont="1" applyFill="1" applyProtection="1"/>
    <xf numFmtId="0" fontId="5" fillId="0" borderId="0" xfId="0" applyFont="1" applyFill="1" applyAlignment="1" applyProtection="1">
      <alignment horizontal="center"/>
    </xf>
    <xf numFmtId="0" fontId="6" fillId="5" borderId="2" xfId="0" applyNumberFormat="1" applyFont="1" applyFill="1" applyBorder="1" applyAlignment="1" applyProtection="1">
      <alignment vertical="top" wrapText="1"/>
      <protection locked="0"/>
    </xf>
    <xf numFmtId="0" fontId="6" fillId="5" borderId="2" xfId="0" applyFont="1" applyFill="1" applyBorder="1" applyAlignment="1" applyProtection="1">
      <alignment horizontal="center" vertical="top" wrapText="1"/>
      <protection locked="0"/>
    </xf>
    <xf numFmtId="8" fontId="6" fillId="5" borderId="2" xfId="0" applyNumberFormat="1" applyFont="1" applyFill="1" applyBorder="1" applyAlignment="1" applyProtection="1">
      <alignment horizontal="center" vertical="top" wrapText="1"/>
      <protection locked="0"/>
    </xf>
    <xf numFmtId="38" fontId="6" fillId="5" borderId="2" xfId="0" applyNumberFormat="1" applyFont="1" applyFill="1" applyBorder="1" applyAlignment="1" applyProtection="1">
      <alignment horizontal="center" vertical="top" wrapText="1"/>
      <protection locked="0"/>
    </xf>
    <xf numFmtId="43" fontId="6" fillId="5" borderId="2" xfId="3" applyFont="1" applyFill="1" applyBorder="1" applyAlignment="1" applyProtection="1">
      <alignment horizontal="center" vertical="top" wrapText="1"/>
      <protection locked="0"/>
    </xf>
    <xf numFmtId="40" fontId="19" fillId="5" borderId="2" xfId="3" applyNumberFormat="1" applyFont="1" applyFill="1" applyBorder="1" applyAlignment="1" applyProtection="1">
      <alignment horizontal="center" vertical="top" wrapText="1"/>
      <protection locked="0"/>
    </xf>
    <xf numFmtId="0" fontId="19" fillId="5" borderId="2" xfId="3" applyNumberFormat="1" applyFont="1" applyFill="1" applyBorder="1" applyAlignment="1" applyProtection="1">
      <alignment horizontal="center" vertical="top" wrapText="1"/>
      <protection locked="0"/>
    </xf>
    <xf numFmtId="0" fontId="19" fillId="5" borderId="0" xfId="3" applyNumberFormat="1" applyFont="1" applyFill="1" applyBorder="1" applyAlignment="1" applyProtection="1">
      <alignment horizontal="center" vertical="top" wrapText="1"/>
      <protection locked="0"/>
    </xf>
    <xf numFmtId="40" fontId="6" fillId="5" borderId="2" xfId="0" applyNumberFormat="1" applyFont="1" applyFill="1" applyBorder="1" applyAlignment="1" applyProtection="1">
      <alignment horizontal="center" vertical="top" wrapText="1"/>
      <protection locked="0"/>
    </xf>
    <xf numFmtId="38" fontId="21" fillId="5" borderId="2" xfId="0" applyNumberFormat="1" applyFont="1" applyFill="1" applyBorder="1" applyAlignment="1" applyProtection="1">
      <alignment horizontal="center" vertical="top" wrapText="1"/>
      <protection locked="0"/>
    </xf>
    <xf numFmtId="40" fontId="21" fillId="5" borderId="2" xfId="0" applyNumberFormat="1" applyFont="1" applyFill="1" applyBorder="1" applyAlignment="1" applyProtection="1">
      <alignment horizontal="center" vertical="top" wrapText="1"/>
      <protection locked="0"/>
    </xf>
    <xf numFmtId="40" fontId="23" fillId="5" borderId="2" xfId="0" applyNumberFormat="1" applyFont="1" applyFill="1" applyBorder="1" applyAlignment="1" applyProtection="1">
      <alignment horizontal="center" vertical="top" wrapText="1"/>
      <protection locked="0"/>
    </xf>
    <xf numFmtId="38" fontId="19" fillId="5" borderId="2" xfId="0" applyNumberFormat="1" applyFont="1" applyFill="1" applyBorder="1" applyAlignment="1" applyProtection="1">
      <alignment horizontal="center" vertical="top" wrapText="1"/>
      <protection locked="0"/>
    </xf>
    <xf numFmtId="38" fontId="23" fillId="5" borderId="2" xfId="0" applyNumberFormat="1" applyFont="1" applyFill="1" applyBorder="1" applyAlignment="1" applyProtection="1">
      <alignment horizontal="center" vertical="top" wrapText="1"/>
      <protection locked="0"/>
    </xf>
    <xf numFmtId="0" fontId="21" fillId="5" borderId="2" xfId="3" applyNumberFormat="1" applyFont="1" applyFill="1" applyBorder="1" applyAlignment="1" applyProtection="1">
      <alignment horizontal="center" vertical="top" wrapText="1"/>
      <protection locked="0"/>
    </xf>
    <xf numFmtId="43" fontId="19" fillId="5" borderId="2" xfId="3" applyFont="1" applyFill="1" applyBorder="1" applyAlignment="1" applyProtection="1">
      <alignment horizontal="center" vertical="top" wrapText="1"/>
      <protection locked="0"/>
    </xf>
    <xf numFmtId="43" fontId="21" fillId="5" borderId="2" xfId="3" applyFont="1" applyFill="1" applyBorder="1" applyAlignment="1" applyProtection="1">
      <alignment horizontal="center" vertical="top" wrapText="1"/>
      <protection locked="0"/>
    </xf>
    <xf numFmtId="0" fontId="6" fillId="5" borderId="0" xfId="0" applyNumberFormat="1" applyFont="1" applyFill="1" applyBorder="1" applyAlignment="1" applyProtection="1">
      <alignment vertical="top" wrapText="1"/>
      <protection locked="0"/>
    </xf>
    <xf numFmtId="0" fontId="6" fillId="5" borderId="0" xfId="0" applyFont="1" applyFill="1" applyBorder="1" applyAlignment="1" applyProtection="1">
      <alignment horizontal="center" vertical="top" wrapText="1"/>
      <protection locked="0"/>
    </xf>
    <xf numFmtId="8" fontId="6" fillId="5" borderId="0" xfId="0" applyNumberFormat="1" applyFont="1" applyFill="1" applyBorder="1" applyAlignment="1" applyProtection="1">
      <alignment horizontal="center" vertical="top" wrapText="1"/>
      <protection locked="0"/>
    </xf>
    <xf numFmtId="43" fontId="19" fillId="5" borderId="0" xfId="3" applyFont="1" applyFill="1" applyBorder="1" applyAlignment="1" applyProtection="1">
      <alignment horizontal="center" vertical="top" wrapText="1"/>
      <protection locked="0"/>
    </xf>
    <xf numFmtId="38" fontId="6" fillId="5" borderId="2" xfId="3" applyNumberFormat="1" applyFont="1" applyFill="1" applyBorder="1" applyAlignment="1" applyProtection="1">
      <alignment horizontal="center" vertical="top" wrapText="1"/>
      <protection locked="0"/>
    </xf>
    <xf numFmtId="8" fontId="19" fillId="5" borderId="2" xfId="3" applyNumberFormat="1" applyFont="1" applyFill="1" applyBorder="1" applyAlignment="1" applyProtection="1">
      <alignment horizontal="center" vertical="top" wrapText="1"/>
      <protection locked="0"/>
    </xf>
    <xf numFmtId="0" fontId="0" fillId="0" borderId="0" xfId="0" applyFill="1" applyAlignment="1" applyProtection="1">
      <alignment wrapText="1"/>
    </xf>
    <xf numFmtId="0" fontId="2" fillId="0" borderId="1" xfId="0" applyFont="1" applyFill="1" applyBorder="1" applyAlignment="1" applyProtection="1">
      <alignment wrapText="1"/>
    </xf>
    <xf numFmtId="0" fontId="0" fillId="0" borderId="0" xfId="0" applyFont="1" applyFill="1" applyAlignment="1" applyProtection="1">
      <alignment wrapText="1"/>
    </xf>
    <xf numFmtId="0" fontId="0" fillId="0" borderId="0" xfId="0" applyFont="1" applyFill="1" applyProtection="1"/>
    <xf numFmtId="0" fontId="20" fillId="0" borderId="2" xfId="0" applyNumberFormat="1" applyFont="1" applyFill="1" applyBorder="1" applyAlignment="1" applyProtection="1">
      <alignment vertical="top" wrapText="1"/>
    </xf>
    <xf numFmtId="8" fontId="20" fillId="0" borderId="2" xfId="0" applyNumberFormat="1" applyFont="1" applyFill="1" applyBorder="1" applyAlignment="1" applyProtection="1">
      <alignment horizontal="right" wrapText="1"/>
    </xf>
    <xf numFmtId="0" fontId="0" fillId="0" borderId="0" xfId="0" applyFill="1" applyProtection="1"/>
    <xf numFmtId="0" fontId="0" fillId="5" borderId="2" xfId="0" applyFill="1" applyBorder="1" applyProtection="1">
      <protection locked="0"/>
    </xf>
    <xf numFmtId="0" fontId="20" fillId="5" borderId="2" xfId="0" applyNumberFormat="1" applyFont="1" applyFill="1" applyBorder="1" applyAlignment="1" applyProtection="1">
      <alignment vertical="top" wrapText="1"/>
      <protection locked="0"/>
    </xf>
    <xf numFmtId="0" fontId="20" fillId="5" borderId="2" xfId="0" applyFont="1" applyFill="1" applyBorder="1" applyAlignment="1" applyProtection="1">
      <alignment vertical="top" wrapText="1"/>
      <protection locked="0"/>
    </xf>
    <xf numFmtId="2" fontId="20" fillId="5" borderId="2" xfId="0" applyNumberFormat="1" applyFont="1" applyFill="1" applyBorder="1" applyAlignment="1" applyProtection="1">
      <alignment vertical="top" wrapText="1"/>
      <protection locked="0"/>
    </xf>
    <xf numFmtId="9" fontId="20" fillId="5" borderId="2" xfId="0" applyNumberFormat="1" applyFont="1" applyFill="1" applyBorder="1" applyAlignment="1" applyProtection="1">
      <alignment vertical="top" wrapText="1"/>
      <protection locked="0"/>
    </xf>
    <xf numFmtId="2" fontId="0" fillId="5" borderId="0" xfId="0" applyNumberFormat="1" applyFont="1" applyFill="1" applyProtection="1">
      <protection locked="0"/>
    </xf>
    <xf numFmtId="0" fontId="20" fillId="5" borderId="2" xfId="0" applyFont="1" applyFill="1" applyBorder="1" applyAlignment="1" applyProtection="1">
      <alignment wrapText="1"/>
      <protection locked="0"/>
    </xf>
    <xf numFmtId="0" fontId="0" fillId="5" borderId="0" xfId="0" applyFont="1" applyFill="1" applyProtection="1">
      <protection locked="0"/>
    </xf>
    <xf numFmtId="0" fontId="5" fillId="6" borderId="0" xfId="0" applyFont="1" applyFill="1" applyBorder="1" applyProtection="1">
      <protection locked="0"/>
    </xf>
    <xf numFmtId="0" fontId="0" fillId="6" borderId="0" xfId="0" applyFill="1" applyBorder="1" applyProtection="1">
      <protection locked="0"/>
    </xf>
    <xf numFmtId="0" fontId="5" fillId="6" borderId="0" xfId="0" applyFont="1" applyFill="1" applyBorder="1" applyAlignment="1" applyProtection="1">
      <alignment horizontal="center"/>
      <protection locked="0"/>
    </xf>
    <xf numFmtId="0" fontId="0" fillId="6" borderId="0" xfId="0" applyFill="1" applyBorder="1" applyAlignment="1" applyProtection="1">
      <alignment horizontal="center"/>
      <protection locked="0"/>
    </xf>
    <xf numFmtId="0" fontId="0" fillId="5" borderId="11" xfId="0" applyFont="1" applyFill="1" applyBorder="1"/>
    <xf numFmtId="0" fontId="0" fillId="5" borderId="2" xfId="0" applyFont="1" applyFill="1" applyBorder="1"/>
    <xf numFmtId="0" fontId="20" fillId="5" borderId="2" xfId="0" applyNumberFormat="1" applyFont="1" applyFill="1" applyBorder="1" applyAlignment="1">
      <alignment vertical="top" wrapText="1"/>
    </xf>
    <xf numFmtId="0" fontId="0" fillId="5" borderId="11" xfId="0" applyFont="1" applyFill="1" applyBorder="1" applyAlignment="1">
      <alignment vertical="top" wrapText="1"/>
    </xf>
    <xf numFmtId="0" fontId="20" fillId="5" borderId="2" xfId="0" applyFont="1" applyFill="1" applyBorder="1" applyAlignment="1">
      <alignment vertical="top" wrapText="1"/>
    </xf>
    <xf numFmtId="2" fontId="20" fillId="5" borderId="2" xfId="0" applyNumberFormat="1" applyFont="1" applyFill="1" applyBorder="1" applyAlignment="1">
      <alignment vertical="top" wrapText="1"/>
    </xf>
    <xf numFmtId="9" fontId="20" fillId="5" borderId="2" xfId="0" applyNumberFormat="1" applyFont="1" applyFill="1" applyBorder="1" applyAlignment="1">
      <alignment vertical="top" wrapText="1"/>
    </xf>
    <xf numFmtId="2" fontId="0" fillId="5" borderId="2" xfId="0" applyNumberFormat="1" applyFont="1" applyFill="1" applyBorder="1"/>
    <xf numFmtId="0" fontId="20" fillId="5" borderId="2" xfId="0" applyFont="1" applyFill="1" applyBorder="1" applyAlignment="1">
      <alignment wrapText="1"/>
    </xf>
    <xf numFmtId="0" fontId="0" fillId="5" borderId="11" xfId="0" applyFill="1" applyBorder="1" applyProtection="1">
      <protection locked="0"/>
    </xf>
    <xf numFmtId="0" fontId="0" fillId="5" borderId="11" xfId="0" applyFont="1" applyFill="1" applyBorder="1" applyAlignment="1" applyProtection="1">
      <alignment vertical="top" wrapText="1"/>
      <protection locked="0"/>
    </xf>
    <xf numFmtId="0" fontId="0" fillId="5" borderId="11" xfId="0" applyFill="1" applyBorder="1" applyAlignment="1" applyProtection="1">
      <alignment vertical="top" wrapText="1"/>
      <protection locked="0"/>
    </xf>
    <xf numFmtId="0" fontId="0" fillId="5" borderId="0" xfId="0" applyFont="1" applyFill="1" applyBorder="1" applyAlignment="1">
      <alignment vertical="top" wrapText="1"/>
    </xf>
    <xf numFmtId="44" fontId="5" fillId="0" borderId="15" xfId="1" applyFont="1" applyFill="1" applyBorder="1" applyProtection="1">
      <protection locked="0"/>
    </xf>
    <xf numFmtId="0" fontId="0" fillId="5" borderId="11" xfId="0" applyFill="1" applyBorder="1" applyAlignment="1">
      <alignment vertical="top"/>
    </xf>
    <xf numFmtId="0" fontId="27" fillId="4" borderId="0" xfId="4" applyFill="1" applyAlignment="1" applyProtection="1"/>
    <xf numFmtId="0" fontId="4" fillId="0" borderId="0" xfId="0" applyFont="1" applyFill="1" applyBorder="1" applyProtection="1">
      <protection locked="0"/>
    </xf>
    <xf numFmtId="0" fontId="28" fillId="0" borderId="0" xfId="0" applyFont="1" applyFill="1" applyBorder="1" applyProtection="1">
      <protection locked="0"/>
    </xf>
    <xf numFmtId="0" fontId="0" fillId="5" borderId="2" xfId="0" applyFill="1" applyBorder="1"/>
    <xf numFmtId="0" fontId="2" fillId="0" borderId="0" xfId="0" applyFont="1" applyFill="1" applyBorder="1" applyAlignment="1">
      <alignment horizontal="center" wrapText="1"/>
    </xf>
    <xf numFmtId="0" fontId="2" fillId="0" borderId="3" xfId="0" applyFont="1" applyFill="1" applyBorder="1" applyAlignment="1">
      <alignment horizontal="center" wrapText="1"/>
    </xf>
    <xf numFmtId="0" fontId="2" fillId="0" borderId="3" xfId="0" applyFont="1" applyFill="1" applyBorder="1" applyAlignment="1">
      <alignment horizontal="center"/>
    </xf>
    <xf numFmtId="0" fontId="0" fillId="0" borderId="0" xfId="0" applyFill="1" applyAlignment="1">
      <alignment horizontal="center"/>
    </xf>
    <xf numFmtId="0" fontId="4" fillId="0" borderId="0" xfId="0" applyFont="1" applyFill="1" applyBorder="1" applyAlignment="1" applyProtection="1">
      <alignment horizontal="center"/>
      <protection locked="0"/>
    </xf>
    <xf numFmtId="0" fontId="26" fillId="0" borderId="0" xfId="0" applyFont="1" applyFill="1" applyBorder="1" applyAlignment="1">
      <alignment horizontal="right"/>
    </xf>
    <xf numFmtId="0" fontId="5" fillId="0" borderId="0" xfId="0" applyFont="1" applyFill="1" applyProtection="1">
      <protection locked="0"/>
    </xf>
    <xf numFmtId="0" fontId="5" fillId="0" borderId="0" xfId="0" applyFont="1" applyFill="1" applyAlignment="1" applyProtection="1">
      <alignment horizontal="center"/>
      <protection locked="0"/>
    </xf>
    <xf numFmtId="0" fontId="0" fillId="5" borderId="0" xfId="0" applyFont="1" applyFill="1" applyBorder="1"/>
    <xf numFmtId="0" fontId="20" fillId="5" borderId="0" xfId="0" applyFont="1" applyFill="1" applyBorder="1" applyAlignment="1">
      <alignment vertical="top" wrapText="1"/>
    </xf>
    <xf numFmtId="0" fontId="0" fillId="5" borderId="2" xfId="0" applyFont="1" applyFill="1" applyBorder="1" applyProtection="1">
      <protection locked="0"/>
    </xf>
    <xf numFmtId="2" fontId="20" fillId="5" borderId="0" xfId="0" applyNumberFormat="1" applyFont="1" applyFill="1" applyBorder="1" applyAlignment="1">
      <alignment vertical="top" wrapText="1"/>
    </xf>
    <xf numFmtId="9" fontId="20" fillId="5" borderId="0" xfId="0" applyNumberFormat="1" applyFont="1" applyFill="1" applyBorder="1" applyAlignment="1">
      <alignment vertical="top" wrapText="1"/>
    </xf>
    <xf numFmtId="0" fontId="0" fillId="5" borderId="11" xfId="0" applyFont="1" applyFill="1" applyBorder="1" applyProtection="1">
      <protection locked="0"/>
    </xf>
    <xf numFmtId="0" fontId="0" fillId="5" borderId="15" xfId="0" applyFill="1" applyBorder="1"/>
    <xf numFmtId="2" fontId="0" fillId="5" borderId="15" xfId="0" applyNumberFormat="1" applyFill="1" applyBorder="1"/>
    <xf numFmtId="0" fontId="2" fillId="4" borderId="15" xfId="0" applyFont="1" applyFill="1" applyBorder="1"/>
    <xf numFmtId="0" fontId="0" fillId="4" borderId="19" xfId="0" applyFill="1" applyBorder="1"/>
    <xf numFmtId="0" fontId="0" fillId="4" borderId="21" xfId="0" applyFill="1" applyBorder="1"/>
    <xf numFmtId="0" fontId="2" fillId="4" borderId="20" xfId="0" applyFont="1" applyFill="1" applyBorder="1"/>
    <xf numFmtId="0" fontId="2" fillId="4" borderId="0" xfId="0" applyFont="1" applyFill="1"/>
    <xf numFmtId="0" fontId="0" fillId="0" borderId="0" xfId="0"/>
    <xf numFmtId="0" fontId="2" fillId="0" borderId="0" xfId="0" applyFont="1" applyAlignment="1">
      <alignment horizontal="right"/>
    </xf>
    <xf numFmtId="0" fontId="2" fillId="0" borderId="3" xfId="0" applyFont="1" applyBorder="1" applyAlignment="1">
      <alignment wrapText="1"/>
    </xf>
    <xf numFmtId="0" fontId="2" fillId="0" borderId="0" xfId="0" applyFont="1" applyAlignment="1">
      <alignment wrapText="1"/>
    </xf>
    <xf numFmtId="2" fontId="0" fillId="0" borderId="3" xfId="0" applyNumberFormat="1" applyBorder="1"/>
    <xf numFmtId="0" fontId="0" fillId="0" borderId="0" xfId="0" applyBorder="1" applyAlignment="1">
      <alignment horizontal="left"/>
    </xf>
    <xf numFmtId="0" fontId="0" fillId="0" borderId="3" xfId="0" applyBorder="1" applyAlignment="1">
      <alignment horizontal="left"/>
    </xf>
    <xf numFmtId="2" fontId="0" fillId="0" borderId="0" xfId="0" applyNumberFormat="1" applyBorder="1" applyAlignment="1">
      <alignment horizontal="center"/>
    </xf>
    <xf numFmtId="2" fontId="0" fillId="0" borderId="3" xfId="0" applyNumberFormat="1" applyBorder="1" applyAlignment="1">
      <alignment horizontal="center"/>
    </xf>
    <xf numFmtId="0" fontId="3" fillId="0" borderId="0" xfId="0" applyFont="1"/>
    <xf numFmtId="2" fontId="0" fillId="0" borderId="0" xfId="0" applyNumberFormat="1" applyBorder="1"/>
    <xf numFmtId="0" fontId="5" fillId="0" borderId="0" xfId="0" applyFont="1"/>
    <xf numFmtId="0" fontId="0" fillId="0" borderId="4" xfId="0" applyBorder="1"/>
    <xf numFmtId="0" fontId="0" fillId="0" borderId="14" xfId="0" applyBorder="1"/>
    <xf numFmtId="0" fontId="9" fillId="0" borderId="0" xfId="0" applyFont="1" applyBorder="1" applyAlignment="1"/>
    <xf numFmtId="0" fontId="0" fillId="0" borderId="0" xfId="0" applyAlignment="1">
      <alignment horizontal="right"/>
    </xf>
    <xf numFmtId="10" fontId="0" fillId="0" borderId="0" xfId="0" applyNumberFormat="1"/>
    <xf numFmtId="43" fontId="0" fillId="0" borderId="0" xfId="0" applyNumberFormat="1"/>
    <xf numFmtId="0" fontId="0" fillId="0" borderId="0" xfId="0" applyFill="1"/>
    <xf numFmtId="167" fontId="0" fillId="0" borderId="0" xfId="1" applyNumberFormat="1" applyFont="1"/>
    <xf numFmtId="0" fontId="4" fillId="0" borderId="0" xfId="0" applyFont="1"/>
    <xf numFmtId="0" fontId="5" fillId="0" borderId="4" xfId="0" applyFont="1" applyBorder="1"/>
    <xf numFmtId="0" fontId="5" fillId="0" borderId="0" xfId="0" applyFont="1" applyAlignment="1">
      <alignment horizontal="right"/>
    </xf>
    <xf numFmtId="0" fontId="24" fillId="0" borderId="0" xfId="0" applyFont="1"/>
    <xf numFmtId="10" fontId="5" fillId="0" borderId="0" xfId="0" applyNumberFormat="1" applyFont="1"/>
    <xf numFmtId="0" fontId="5" fillId="0" borderId="0" xfId="0" applyFont="1" applyBorder="1" applyAlignment="1"/>
    <xf numFmtId="167" fontId="5" fillId="0" borderId="0" xfId="1" applyNumberFormat="1" applyFont="1"/>
    <xf numFmtId="44" fontId="5" fillId="0" borderId="0" xfId="1" applyFont="1"/>
    <xf numFmtId="0" fontId="0" fillId="0" borderId="3" xfId="0" applyBorder="1"/>
    <xf numFmtId="0" fontId="0" fillId="0" borderId="3" xfId="0" applyBorder="1" applyAlignment="1">
      <alignment horizontal="center"/>
    </xf>
    <xf numFmtId="0" fontId="0" fillId="0" borderId="18" xfId="0" applyBorder="1"/>
    <xf numFmtId="0" fontId="0" fillId="0" borderId="3" xfId="0" applyBorder="1" applyProtection="1">
      <protection locked="0"/>
    </xf>
    <xf numFmtId="0" fontId="0" fillId="0" borderId="3" xfId="0" applyBorder="1" applyAlignment="1" applyProtection="1">
      <alignment horizontal="center"/>
      <protection locked="0"/>
    </xf>
    <xf numFmtId="9" fontId="0" fillId="0" borderId="3" xfId="2" applyFont="1" applyBorder="1" applyAlignment="1" applyProtection="1">
      <alignment horizontal="center"/>
      <protection locked="0"/>
    </xf>
    <xf numFmtId="0" fontId="0" fillId="0" borderId="3" xfId="0" applyBorder="1" applyAlignment="1" applyProtection="1">
      <protection locked="0"/>
    </xf>
    <xf numFmtId="0" fontId="3" fillId="0" borderId="0" xfId="0" applyFont="1" applyFill="1"/>
    <xf numFmtId="0" fontId="2" fillId="0" borderId="0" xfId="0" applyFont="1" applyFill="1" applyBorder="1"/>
    <xf numFmtId="0" fontId="2" fillId="0" borderId="0" xfId="0" applyFont="1" applyFill="1" applyBorder="1" applyProtection="1">
      <protection locked="0"/>
    </xf>
    <xf numFmtId="0" fontId="29" fillId="0" borderId="0" xfId="0" applyFont="1" applyFill="1" applyBorder="1" applyProtection="1">
      <protection locked="0"/>
    </xf>
    <xf numFmtId="2" fontId="0" fillId="0" borderId="0" xfId="0" applyNumberFormat="1"/>
    <xf numFmtId="2" fontId="5" fillId="0" borderId="0" xfId="0" applyNumberFormat="1" applyFont="1"/>
    <xf numFmtId="2" fontId="0" fillId="5" borderId="0" xfId="0" applyNumberFormat="1" applyFont="1" applyFill="1" applyBorder="1"/>
    <xf numFmtId="9" fontId="0" fillId="5" borderId="0" xfId="2" applyFont="1" applyFill="1" applyBorder="1" applyAlignment="1" applyProtection="1">
      <alignment horizontal="center"/>
      <protection locked="0"/>
    </xf>
    <xf numFmtId="0" fontId="2" fillId="0" borderId="0" xfId="0" applyFont="1"/>
    <xf numFmtId="0" fontId="4" fillId="0" borderId="0" xfId="0" applyFont="1" applyAlignment="1">
      <alignment horizontal="right"/>
    </xf>
    <xf numFmtId="0" fontId="4" fillId="0" borderId="0" xfId="0" applyFont="1" applyFill="1" applyAlignment="1">
      <alignment horizontal="right"/>
    </xf>
    <xf numFmtId="0" fontId="0" fillId="0" borderId="0" xfId="0" applyFill="1" applyBorder="1"/>
    <xf numFmtId="0" fontId="0" fillId="0" borderId="0" xfId="0" applyBorder="1"/>
    <xf numFmtId="0" fontId="2" fillId="0" borderId="0" xfId="0" applyFont="1" applyBorder="1"/>
    <xf numFmtId="0" fontId="2" fillId="5" borderId="0" xfId="0" applyFont="1" applyFill="1" applyBorder="1" applyProtection="1">
      <protection locked="0"/>
    </xf>
    <xf numFmtId="0" fontId="2" fillId="5" borderId="0" xfId="0" applyFont="1" applyFill="1" applyBorder="1" applyAlignment="1" applyProtection="1">
      <alignment horizontal="center"/>
      <protection locked="0"/>
    </xf>
    <xf numFmtId="0" fontId="2" fillId="5" borderId="0" xfId="0" applyFont="1" applyFill="1" applyBorder="1" applyAlignment="1" applyProtection="1">
      <alignment horizontal="right"/>
      <protection locked="0"/>
    </xf>
    <xf numFmtId="0" fontId="5" fillId="5" borderId="0" xfId="0" applyFont="1" applyFill="1" applyBorder="1" applyAlignment="1" applyProtection="1">
      <alignment horizontal="center"/>
      <protection locked="0"/>
    </xf>
    <xf numFmtId="0" fontId="0" fillId="5" borderId="0" xfId="0" applyFill="1" applyBorder="1" applyAlignment="1" applyProtection="1">
      <alignment horizontal="center"/>
      <protection locked="0"/>
    </xf>
    <xf numFmtId="9" fontId="5" fillId="5" borderId="0" xfId="2" applyFont="1" applyFill="1" applyBorder="1" applyAlignment="1" applyProtection="1">
      <alignment horizontal="center"/>
      <protection locked="0"/>
    </xf>
    <xf numFmtId="0" fontId="2" fillId="5" borderId="0" xfId="0" applyFont="1" applyFill="1" applyBorder="1"/>
    <xf numFmtId="0" fontId="5" fillId="6" borderId="0" xfId="0" applyFont="1" applyFill="1" applyBorder="1" applyProtection="1">
      <protection locked="0"/>
    </xf>
    <xf numFmtId="0" fontId="0" fillId="6" borderId="0" xfId="0" applyFill="1" applyBorder="1" applyProtection="1">
      <protection locked="0"/>
    </xf>
    <xf numFmtId="0" fontId="5" fillId="6" borderId="0" xfId="0" applyFont="1" applyFill="1" applyBorder="1" applyAlignment="1" applyProtection="1">
      <alignment horizontal="center"/>
      <protection locked="0"/>
    </xf>
    <xf numFmtId="4" fontId="0" fillId="0" borderId="0" xfId="0" applyNumberFormat="1" applyFill="1"/>
    <xf numFmtId="4" fontId="5" fillId="0" borderId="3" xfId="0" applyNumberFormat="1" applyFont="1" applyFill="1" applyBorder="1"/>
    <xf numFmtId="4" fontId="5" fillId="0" borderId="0" xfId="0" applyNumberFormat="1" applyFont="1" applyFill="1" applyBorder="1" applyAlignment="1"/>
    <xf numFmtId="4" fontId="5" fillId="0" borderId="0" xfId="3" applyNumberFormat="1" applyFont="1" applyFill="1"/>
    <xf numFmtId="4" fontId="5" fillId="0" borderId="3" xfId="3" applyNumberFormat="1" applyFont="1" applyFill="1" applyBorder="1"/>
    <xf numFmtId="0" fontId="0" fillId="5" borderId="0" xfId="0" applyFont="1" applyFill="1" applyBorder="1" applyAlignment="1" applyProtection="1">
      <alignment vertical="top" wrapText="1"/>
      <protection locked="0"/>
    </xf>
    <xf numFmtId="0" fontId="20" fillId="5" borderId="0" xfId="0" applyFont="1" applyFill="1" applyBorder="1" applyAlignment="1" applyProtection="1">
      <alignment vertical="top" wrapText="1"/>
      <protection locked="0"/>
    </xf>
    <xf numFmtId="2" fontId="20" fillId="5" borderId="0" xfId="0" applyNumberFormat="1" applyFont="1" applyFill="1" applyBorder="1" applyAlignment="1" applyProtection="1">
      <alignment vertical="top" wrapText="1"/>
      <protection locked="0"/>
    </xf>
    <xf numFmtId="9" fontId="20" fillId="5" borderId="0" xfId="0" applyNumberFormat="1" applyFont="1" applyFill="1" applyBorder="1" applyAlignment="1" applyProtection="1">
      <alignment vertical="top" wrapText="1"/>
      <protection locked="0"/>
    </xf>
    <xf numFmtId="2" fontId="0" fillId="5" borderId="0" xfId="0" applyNumberFormat="1" applyFont="1" applyFill="1" applyBorder="1" applyProtection="1">
      <protection locked="0"/>
    </xf>
    <xf numFmtId="0" fontId="5" fillId="5" borderId="0" xfId="0" applyNumberFormat="1" applyFont="1" applyFill="1" applyBorder="1" applyAlignment="1" applyProtection="1">
      <protection locked="0"/>
    </xf>
    <xf numFmtId="0" fontId="5" fillId="5" borderId="0" xfId="3" applyNumberFormat="1" applyFont="1" applyFill="1" applyBorder="1" applyAlignment="1" applyProtection="1">
      <protection locked="0"/>
    </xf>
    <xf numFmtId="0" fontId="0" fillId="5" borderId="0" xfId="0" applyNumberFormat="1" applyFill="1" applyBorder="1" applyAlignment="1" applyProtection="1">
      <protection locked="0"/>
    </xf>
    <xf numFmtId="0" fontId="0" fillId="5" borderId="0" xfId="0" applyFont="1" applyFill="1" applyBorder="1" applyProtection="1">
      <protection locked="0"/>
    </xf>
    <xf numFmtId="0" fontId="2" fillId="6" borderId="0" xfId="0" applyFont="1" applyFill="1"/>
    <xf numFmtId="0" fontId="2" fillId="0" borderId="0" xfId="0" applyFont="1" applyBorder="1" applyAlignment="1">
      <alignment horizontal="center" wrapText="1"/>
    </xf>
    <xf numFmtId="0" fontId="2" fillId="0" borderId="3" xfId="0" applyFont="1" applyBorder="1" applyAlignment="1">
      <alignment horizontal="center" wrapText="1"/>
    </xf>
    <xf numFmtId="0" fontId="2" fillId="0" borderId="3" xfId="0" applyFont="1" applyBorder="1" applyAlignment="1">
      <alignment horizontal="center"/>
    </xf>
    <xf numFmtId="0" fontId="0" fillId="0" borderId="0" xfId="0" applyAlignment="1">
      <alignment horizontal="center"/>
    </xf>
    <xf numFmtId="164" fontId="0" fillId="5" borderId="0" xfId="3" applyNumberFormat="1" applyFont="1" applyFill="1" applyProtection="1">
      <protection locked="0"/>
    </xf>
    <xf numFmtId="164" fontId="0" fillId="5" borderId="0" xfId="3" applyNumberFormat="1" applyFont="1" applyFill="1" applyBorder="1" applyProtection="1">
      <protection locked="0"/>
    </xf>
    <xf numFmtId="0" fontId="0" fillId="4" borderId="22" xfId="0" applyFill="1" applyBorder="1"/>
    <xf numFmtId="0" fontId="0" fillId="5" borderId="11" xfId="0" applyFill="1" applyBorder="1" applyAlignment="1">
      <alignment vertical="top" wrapText="1"/>
    </xf>
    <xf numFmtId="0" fontId="20" fillId="5" borderId="0" xfId="0" applyNumberFormat="1" applyFont="1" applyFill="1" applyBorder="1" applyAlignment="1" applyProtection="1">
      <alignment vertical="top" wrapText="1"/>
      <protection locked="0"/>
    </xf>
    <xf numFmtId="8" fontId="20" fillId="0" borderId="0" xfId="0" applyNumberFormat="1" applyFont="1" applyFill="1" applyBorder="1" applyAlignment="1" applyProtection="1">
      <alignment horizontal="right" wrapText="1"/>
    </xf>
    <xf numFmtId="0" fontId="0" fillId="5" borderId="0" xfId="0" applyFill="1" applyBorder="1" applyAlignment="1" applyProtection="1">
      <alignment vertical="top" wrapText="1"/>
      <protection locked="0"/>
    </xf>
    <xf numFmtId="0" fontId="2" fillId="4" borderId="24" xfId="0" applyFont="1" applyFill="1" applyBorder="1" applyAlignment="1">
      <alignment horizontal="left"/>
    </xf>
    <xf numFmtId="0" fontId="2" fillId="4" borderId="25" xfId="0" applyFont="1" applyFill="1" applyBorder="1" applyAlignment="1">
      <alignment horizontal="left"/>
    </xf>
    <xf numFmtId="0" fontId="30" fillId="4" borderId="0" xfId="0" applyFont="1" applyFill="1" applyAlignment="1">
      <alignment horizontal="center"/>
    </xf>
    <xf numFmtId="0" fontId="0" fillId="4" borderId="23" xfId="0" applyFill="1" applyBorder="1" applyAlignment="1">
      <alignment horizontal="left"/>
    </xf>
    <xf numFmtId="0" fontId="0" fillId="4" borderId="22" xfId="0" applyFill="1" applyBorder="1" applyAlignment="1">
      <alignment horizontal="left"/>
    </xf>
    <xf numFmtId="0" fontId="13" fillId="0" borderId="0" xfId="0" applyFont="1" applyAlignment="1" applyProtection="1">
      <alignment horizontal="left" wrapText="1"/>
    </xf>
    <xf numFmtId="0" fontId="0" fillId="0" borderId="0" xfId="0" applyAlignment="1" applyProtection="1">
      <alignment horizontal="left" wrapText="1"/>
    </xf>
    <xf numFmtId="0" fontId="0" fillId="0" borderId="0" xfId="0" applyAlignment="1">
      <alignment horizontal="center"/>
    </xf>
    <xf numFmtId="0" fontId="0" fillId="6" borderId="16" xfId="0" applyFill="1" applyBorder="1" applyAlignment="1" applyProtection="1">
      <alignment horizontal="center"/>
      <protection locked="0"/>
    </xf>
    <xf numFmtId="0" fontId="0" fillId="6" borderId="18" xfId="0" applyFill="1" applyBorder="1" applyAlignment="1" applyProtection="1">
      <alignment horizontal="center"/>
      <protection locked="0"/>
    </xf>
    <xf numFmtId="0" fontId="0" fillId="6" borderId="17" xfId="0" applyFill="1" applyBorder="1" applyAlignment="1" applyProtection="1">
      <alignment horizontal="center"/>
      <protection locked="0"/>
    </xf>
    <xf numFmtId="0" fontId="5" fillId="0" borderId="0" xfId="0" applyFont="1" applyAlignment="1">
      <alignment horizontal="center"/>
    </xf>
    <xf numFmtId="0" fontId="0" fillId="0" borderId="0" xfId="0" applyBorder="1" applyAlignment="1">
      <alignment horizontal="center"/>
    </xf>
    <xf numFmtId="0" fontId="0" fillId="0" borderId="0" xfId="0" applyFill="1" applyBorder="1" applyAlignment="1">
      <alignment horizontal="center"/>
    </xf>
    <xf numFmtId="0" fontId="2" fillId="0" borderId="3" xfId="0" applyFont="1" applyBorder="1" applyAlignment="1">
      <alignment horizontal="center" wrapText="1"/>
    </xf>
    <xf numFmtId="0" fontId="2" fillId="0" borderId="0" xfId="0" applyFont="1" applyBorder="1" applyAlignment="1">
      <alignment horizontal="center" wrapText="1"/>
    </xf>
    <xf numFmtId="0" fontId="29" fillId="0" borderId="0" xfId="0" applyFont="1" applyFill="1" applyBorder="1" applyAlignment="1" applyProtection="1">
      <alignment horizontal="left" wrapText="1"/>
      <protection locked="0"/>
    </xf>
    <xf numFmtId="0" fontId="2" fillId="0" borderId="0" xfId="0" applyFont="1" applyBorder="1" applyAlignment="1">
      <alignment horizontal="left"/>
    </xf>
    <xf numFmtId="0" fontId="2" fillId="0" borderId="3" xfId="0" applyFont="1" applyBorder="1" applyAlignment="1">
      <alignment horizontal="left"/>
    </xf>
    <xf numFmtId="0" fontId="2" fillId="0" borderId="0" xfId="0" applyFont="1" applyBorder="1" applyAlignment="1">
      <alignment horizontal="center"/>
    </xf>
    <xf numFmtId="0" fontId="2" fillId="0" borderId="3" xfId="0" applyFont="1" applyBorder="1" applyAlignment="1">
      <alignment horizontal="center"/>
    </xf>
    <xf numFmtId="0" fontId="5" fillId="0" borderId="0" xfId="0" applyFont="1" applyFill="1" applyAlignment="1">
      <alignment horizontal="center"/>
    </xf>
    <xf numFmtId="0" fontId="0" fillId="0" borderId="0" xfId="0" applyFill="1" applyAlignment="1">
      <alignment horizontal="center"/>
    </xf>
    <xf numFmtId="0" fontId="0" fillId="6" borderId="16" xfId="0" applyFill="1" applyBorder="1" applyAlignment="1">
      <alignment horizontal="center"/>
    </xf>
    <xf numFmtId="0" fontId="0" fillId="6" borderId="18" xfId="0" applyFill="1" applyBorder="1" applyAlignment="1">
      <alignment horizontal="center"/>
    </xf>
    <xf numFmtId="0" fontId="0" fillId="6" borderId="17" xfId="0" applyFill="1" applyBorder="1" applyAlignment="1">
      <alignment horizontal="center"/>
    </xf>
    <xf numFmtId="0" fontId="2" fillId="0" borderId="3" xfId="0" applyFont="1" applyFill="1" applyBorder="1" applyAlignment="1">
      <alignment horizontal="center" wrapText="1"/>
    </xf>
    <xf numFmtId="0" fontId="2" fillId="0" borderId="0" xfId="0" applyFont="1" applyFill="1" applyBorder="1" applyAlignment="1">
      <alignment horizontal="center" wrapText="1"/>
    </xf>
    <xf numFmtId="0" fontId="2" fillId="0" borderId="0" xfId="0" applyFont="1" applyFill="1" applyBorder="1" applyAlignment="1">
      <alignment horizontal="left"/>
    </xf>
    <xf numFmtId="0" fontId="2" fillId="0" borderId="3" xfId="0" applyFont="1" applyFill="1" applyBorder="1" applyAlignment="1">
      <alignment horizontal="left"/>
    </xf>
    <xf numFmtId="0" fontId="2" fillId="0" borderId="0" xfId="0" applyFont="1" applyFill="1" applyBorder="1" applyAlignment="1">
      <alignment horizontal="center"/>
    </xf>
    <xf numFmtId="0" fontId="2" fillId="0" borderId="3" xfId="0" applyFont="1" applyFill="1" applyBorder="1" applyAlignment="1">
      <alignment horizontal="center"/>
    </xf>
    <xf numFmtId="0" fontId="28" fillId="0" borderId="0" xfId="0" applyFont="1" applyFill="1" applyBorder="1" applyAlignment="1" applyProtection="1">
      <alignment horizontal="left" wrapText="1"/>
      <protection locked="0"/>
    </xf>
  </cellXfs>
  <cellStyles count="5">
    <cellStyle name="Comma" xfId="3" builtinId="3"/>
    <cellStyle name="Currency" xfId="1" builtinId="4"/>
    <cellStyle name="Hyperlink" xfId="4" builtinId="8"/>
    <cellStyle name="Normal" xfId="0" builtinId="0"/>
    <cellStyle name="Percent" xfId="2" builtinId="5"/>
  </cellStyles>
  <dxfs count="93">
    <dxf>
      <font>
        <b val="0"/>
        <i val="0"/>
        <strike val="0"/>
        <condense val="0"/>
        <extend val="0"/>
        <outline val="0"/>
        <shadow val="0"/>
        <u val="none"/>
        <vertAlign val="baseline"/>
        <sz val="9"/>
        <color theme="1"/>
        <name val="Arial"/>
        <scheme val="none"/>
      </font>
      <numFmt numFmtId="12" formatCode="&quot;$&quot;#,##0.00_);[Red]\(&quot;$&quot;#,##0.00\)"/>
      <fill>
        <patternFill patternType="none">
          <fgColor indexed="64"/>
          <bgColor indexed="65"/>
        </patternFill>
      </fill>
      <alignment horizontal="right" vertical="bottom" textRotation="0" wrapText="1" relativeIndent="0" justifyLastLine="0" shrinkToFit="0" readingOrder="0"/>
      <border diagonalUp="0" diagonalDown="0">
        <left/>
        <right/>
        <top/>
        <bottom style="thin">
          <color theme="4" tint="0.39997558519241921"/>
        </bottom>
      </border>
      <protection locked="1" hidden="0"/>
    </dxf>
    <dxf>
      <font>
        <b val="0"/>
        <i val="0"/>
        <strike val="0"/>
        <condense val="0"/>
        <extend val="0"/>
        <outline val="0"/>
        <shadow val="0"/>
        <u val="none"/>
        <vertAlign val="baseline"/>
        <sz val="9"/>
        <color theme="1"/>
        <name val="Arial"/>
        <scheme val="none"/>
      </font>
      <numFmt numFmtId="0" formatCode="General"/>
      <fill>
        <patternFill patternType="solid">
          <fgColor indexed="64"/>
          <bgColor rgb="FFFFFF99"/>
        </patternFill>
      </fill>
      <alignment horizontal="general" vertical="top" textRotation="0" wrapText="1" relativeIndent="0" justifyLastLine="0" shrinkToFit="0" readingOrder="0"/>
      <border diagonalUp="0" diagonalDown="0">
        <left/>
        <right/>
        <top/>
        <bottom style="thin">
          <color theme="4" tint="0.39997558519241921"/>
        </bottom>
      </border>
      <protection locked="0" hidden="0"/>
    </dxf>
    <dxf>
      <font>
        <strike val="0"/>
        <outline val="0"/>
        <shadow val="0"/>
        <u val="none"/>
        <color theme="1"/>
        <name val="Arial"/>
        <scheme val="none"/>
      </font>
      <fill>
        <patternFill patternType="solid">
          <fgColor indexed="64"/>
          <bgColor rgb="FFFFFF99"/>
        </patternFill>
      </fill>
      <protection locked="0" hidden="0"/>
    </dxf>
    <dxf>
      <font>
        <strike val="0"/>
        <outline val="0"/>
        <shadow val="0"/>
        <u val="none"/>
        <color theme="1"/>
        <name val="Arial"/>
        <scheme val="none"/>
      </font>
      <fill>
        <patternFill patternType="solid">
          <fgColor indexed="64"/>
          <bgColor rgb="FFFFFF99"/>
        </patternFill>
      </fill>
      <protection locked="0" hidden="0"/>
    </dxf>
    <dxf>
      <font>
        <strike val="0"/>
        <outline val="0"/>
        <shadow val="0"/>
        <u val="none"/>
        <color theme="1"/>
        <name val="Arial"/>
        <scheme val="none"/>
      </font>
      <numFmt numFmtId="2" formatCode="0.00"/>
      <fill>
        <patternFill patternType="solid">
          <fgColor indexed="64"/>
          <bgColor rgb="FFFFFF99"/>
        </patternFill>
      </fill>
      <protection locked="0" hidden="0"/>
    </dxf>
    <dxf>
      <font>
        <strike val="0"/>
        <outline val="0"/>
        <shadow val="0"/>
        <u val="none"/>
        <color theme="1"/>
        <name val="Arial"/>
        <scheme val="none"/>
      </font>
      <fill>
        <patternFill patternType="solid">
          <fgColor indexed="64"/>
          <bgColor rgb="FFFFFF99"/>
        </patternFill>
      </fill>
      <protection locked="0" hidden="0"/>
    </dxf>
    <dxf>
      <font>
        <strike val="0"/>
        <outline val="0"/>
        <shadow val="0"/>
        <u val="none"/>
        <sz val="10"/>
        <color theme="1"/>
        <name val="Arial"/>
        <scheme val="none"/>
      </font>
      <fill>
        <patternFill patternType="solid">
          <fgColor indexed="64"/>
          <bgColor rgb="FFFFFF99"/>
        </patternFill>
      </fill>
      <protection locked="0" hidden="0"/>
    </dxf>
    <dxf>
      <border outline="0">
        <right style="thin">
          <color theme="4" tint="0.39997558519241921"/>
        </right>
      </border>
    </dxf>
    <dxf>
      <font>
        <strike val="0"/>
        <outline val="0"/>
        <shadow val="0"/>
        <u val="none"/>
        <color theme="1"/>
        <name val="Arial"/>
        <scheme val="none"/>
      </font>
      <fill>
        <patternFill patternType="none">
          <fgColor indexed="64"/>
          <bgColor indexed="65"/>
        </patternFill>
      </fill>
      <alignment textRotation="0" relativeIndent="0" justifyLastLine="0" shrinkToFit="0" readingOrder="0"/>
      <protection locked="1" hidden="0"/>
    </dxf>
    <dxf>
      <border outline="0">
        <bottom style="thin">
          <color theme="4" tint="0.39997558519241921"/>
        </bottom>
      </border>
    </dxf>
    <dxf>
      <font>
        <b/>
        <i val="0"/>
        <strike val="0"/>
        <condense val="0"/>
        <extend val="0"/>
        <outline val="0"/>
        <shadow val="0"/>
        <u val="none"/>
        <vertAlign val="baseline"/>
        <sz val="10"/>
        <color theme="1"/>
        <name val="Arial"/>
        <scheme val="none"/>
      </font>
      <fill>
        <patternFill patternType="none">
          <fgColor indexed="64"/>
          <bgColor indexed="65"/>
        </patternFill>
      </fill>
      <alignment horizontal="general" vertical="bottom" textRotation="0" wrapText="1" relativeIndent="0" justifyLastLine="0" shrinkToFit="0" readingOrder="0"/>
      <protection locked="1" hidden="0"/>
    </dxf>
    <dxf>
      <font>
        <b val="0"/>
        <i val="0"/>
        <strike val="0"/>
        <condense val="0"/>
        <extend val="0"/>
        <outline val="0"/>
        <shadow val="0"/>
        <u val="none"/>
        <vertAlign val="baseline"/>
        <sz val="10"/>
        <color theme="1"/>
        <name val="Arial"/>
        <scheme val="none"/>
      </font>
      <numFmt numFmtId="2" formatCode="0.00"/>
      <fill>
        <patternFill patternType="solid">
          <fgColor indexed="64"/>
          <bgColor theme="0" tint="-0.14999847407452621"/>
        </patternFill>
      </fill>
      <alignment horizontal="center" vertical="top" textRotation="0" wrapText="1" relativeIndent="0" justifyLastLine="0" shrinkToFit="0" readingOrder="0"/>
      <border diagonalUp="0" diagonalDown="0">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2" formatCode="0.00"/>
      <fill>
        <patternFill patternType="solid">
          <fgColor indexed="64"/>
          <bgColor theme="0" tint="-0.14999847407452621"/>
        </patternFill>
      </fill>
      <alignment horizontal="center" vertical="top" textRotation="0" wrapText="1" relativeIndent="0" justifyLastLine="0" shrinkToFit="0" readingOrder="0"/>
      <border diagonalUp="0" diagonalDown="0">
        <left/>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2" formatCode="0.00"/>
      <fill>
        <patternFill patternType="solid">
          <fgColor indexed="64"/>
          <bgColor theme="0" tint="-0.14999847407452621"/>
        </patternFill>
      </fill>
      <alignment horizontal="center" vertical="top" textRotation="0" wrapText="1" relativeIndent="0" justifyLastLine="0" shrinkToFit="0" readingOrder="0"/>
      <border diagonalUp="0" diagonalDown="0">
        <left/>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35" formatCode="_(* #,##0.00_);_(* \(#,##0.00\);_(* &quot;-&quot;??_);_(@_)"/>
      <fill>
        <patternFill patternType="solid">
          <fgColor indexed="64"/>
          <bgColor theme="0" tint="-0.14999847407452621"/>
        </patternFill>
      </fill>
      <alignment horizontal="center" vertical="top" textRotation="0" wrapText="1" relativeIndent="0" justifyLastLine="0" shrinkToFit="0" readingOrder="0"/>
      <border diagonalUp="0" diagonalDown="0">
        <left/>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164" formatCode="_(* #,##0_);_(* \(#,##0\);_(* &quot;-&quot;??_);_(@_)"/>
      <fill>
        <patternFill patternType="solid">
          <fgColor indexed="64"/>
          <bgColor theme="0" tint="-0.14999847407452621"/>
        </patternFill>
      </fill>
      <alignment horizontal="center" vertical="top" textRotation="0" wrapText="1" relativeIndent="0" justifyLastLine="0" shrinkToFit="0" readingOrder="0"/>
      <border diagonalUp="0" diagonalDown="0">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164" formatCode="_(* #,##0_);_(* \(#,##0\);_(* &quot;-&quot;??_);_(@_)"/>
      <fill>
        <patternFill patternType="solid">
          <fgColor indexed="64"/>
          <bgColor theme="0" tint="-0.14999847407452621"/>
        </patternFill>
      </fill>
      <alignment horizontal="center" vertical="top" textRotation="0" wrapText="1" relativeIndent="0" justifyLastLine="0" shrinkToFit="0" readingOrder="0"/>
      <border diagonalUp="0" diagonalDown="0">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35" formatCode="_(* #,##0.00_);_(* \(#,##0.00\);_(* &quot;-&quot;??_);_(@_)"/>
      <fill>
        <patternFill patternType="solid">
          <fgColor indexed="64"/>
          <bgColor theme="0" tint="-0.14999847407452621"/>
        </patternFill>
      </fill>
      <alignment horizontal="center" vertical="top" textRotation="0" wrapText="1" relativeIndent="0" justifyLastLine="0" shrinkToFit="0" readingOrder="0"/>
      <border diagonalUp="0" diagonalDown="0">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164" formatCode="_(* #,##0_);_(* \(#,##0\);_(* &quot;-&quot;??_);_(@_)"/>
      <fill>
        <patternFill patternType="solid">
          <fgColor indexed="64"/>
          <bgColor theme="0" tint="-0.14999847407452621"/>
        </patternFill>
      </fill>
      <alignment horizontal="center" vertical="top" textRotation="0" wrapText="1" relativeIndent="0" justifyLastLine="0" shrinkToFit="0" readingOrder="0"/>
      <border diagonalUp="0" diagonalDown="0">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9"/>
        <color rgb="FFFF0000"/>
        <name val="Arial"/>
        <scheme val="none"/>
      </font>
      <fill>
        <patternFill patternType="solid">
          <fgColor indexed="64"/>
          <bgColor rgb="FFFFFF99"/>
        </patternFill>
      </fill>
      <alignment horizontal="center" vertical="top" textRotation="0" wrapText="1" relativeIndent="0" justifyLastLine="0" shrinkToFit="0" readingOrder="0"/>
      <protection locked="0" hidden="0"/>
    </dxf>
    <dxf>
      <font>
        <b val="0"/>
        <i val="0"/>
        <strike val="0"/>
        <condense val="0"/>
        <extend val="0"/>
        <outline val="0"/>
        <shadow val="0"/>
        <u val="none"/>
        <vertAlign val="baseline"/>
        <sz val="9"/>
        <color rgb="FFFF0000"/>
        <name val="Arial"/>
        <scheme val="none"/>
      </font>
      <numFmt numFmtId="12" formatCode="&quot;$&quot;#,##0.00_);[Red]\(&quot;$&quot;#,##0.00\)"/>
      <fill>
        <patternFill patternType="solid">
          <fgColor indexed="64"/>
          <bgColor rgb="FFFFFF99"/>
        </patternFill>
      </fill>
      <alignment horizontal="center" vertical="top" textRotation="0" wrapText="1" relative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9"/>
        <color auto="1"/>
        <name val="Arial"/>
        <scheme val="none"/>
      </font>
      <numFmt numFmtId="12" formatCode="&quot;$&quot;#,##0.00_);[Red]\(&quot;$&quot;#,##0.00\)"/>
      <fill>
        <patternFill patternType="solid">
          <fgColor indexed="64"/>
          <bgColor rgb="FFFFFF99"/>
        </patternFill>
      </fill>
      <alignment horizontal="center" vertical="top" textRotation="0" wrapText="1" relative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9"/>
        <color rgb="FFFF0000"/>
        <name val="Arial"/>
        <scheme val="none"/>
      </font>
      <numFmt numFmtId="12" formatCode="&quot;$&quot;#,##0.00_);[Red]\(&quot;$&quot;#,##0.00\)"/>
      <fill>
        <patternFill patternType="solid">
          <fgColor indexed="64"/>
          <bgColor rgb="FFFFFF99"/>
        </patternFill>
      </fill>
      <alignment horizontal="center" vertical="top" textRotation="0" wrapText="1" relative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9"/>
        <color rgb="FFFF0000"/>
        <name val="Arial"/>
        <scheme val="none"/>
      </font>
      <numFmt numFmtId="12" formatCode="&quot;$&quot;#,##0.00_);[Red]\(&quot;$&quot;#,##0.00\)"/>
      <fill>
        <patternFill patternType="solid">
          <fgColor indexed="64"/>
          <bgColor rgb="FFFFFF99"/>
        </patternFill>
      </fill>
      <alignment horizontal="center" vertical="top" textRotation="0" wrapText="1" relative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9"/>
        <color auto="1"/>
        <name val="Arial"/>
        <scheme val="none"/>
      </font>
      <numFmt numFmtId="12" formatCode="&quot;$&quot;#,##0.00_);[Red]\(&quot;$&quot;#,##0.00\)"/>
      <fill>
        <patternFill patternType="solid">
          <fgColor indexed="64"/>
          <bgColor rgb="FFFFFF99"/>
        </patternFill>
      </fill>
      <alignment horizontal="center" vertical="top" textRotation="0" wrapText="1" relative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9"/>
        <color auto="1"/>
        <name val="Arial"/>
        <scheme val="none"/>
      </font>
      <numFmt numFmtId="12" formatCode="&quot;$&quot;#,##0.00_);[Red]\(&quot;$&quot;#,##0.00\)"/>
      <fill>
        <patternFill patternType="solid">
          <fgColor indexed="64"/>
          <bgColor rgb="FFFFFF99"/>
        </patternFill>
      </fill>
      <alignment horizontal="center" vertical="top" textRotation="0" wrapText="1" relative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9"/>
        <color auto="1"/>
        <name val="Arial"/>
        <scheme val="none"/>
      </font>
      <numFmt numFmtId="6" formatCode="#,##0_);[Red]\(#,##0\)"/>
      <fill>
        <patternFill patternType="solid">
          <fgColor indexed="64"/>
          <bgColor rgb="FFFFFF99"/>
        </patternFill>
      </fill>
      <alignment horizontal="center" vertical="top" textRotation="0" wrapText="1" relative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9"/>
        <color auto="1"/>
        <name val="Arial"/>
        <scheme val="none"/>
      </font>
      <numFmt numFmtId="12" formatCode="&quot;$&quot;#,##0.00_);[Red]\(&quot;$&quot;#,##0.00\)"/>
      <fill>
        <patternFill patternType="solid">
          <fgColor indexed="64"/>
          <bgColor rgb="FFFFFF99"/>
        </patternFill>
      </fill>
      <alignment horizontal="center" vertical="top" textRotation="0" wrapText="1" relative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9"/>
        <color auto="1"/>
        <name val="Arial"/>
        <scheme val="none"/>
      </font>
      <numFmt numFmtId="12" formatCode="&quot;$&quot;#,##0.00_);[Red]\(&quot;$&quot;#,##0.00\)"/>
      <fill>
        <patternFill patternType="solid">
          <fgColor indexed="64"/>
          <bgColor rgb="FFFFFF99"/>
        </patternFill>
      </fill>
      <alignment horizontal="center" vertical="top" textRotation="0" wrapText="1" relative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9"/>
        <color auto="1"/>
        <name val="Arial"/>
        <scheme val="none"/>
      </font>
      <numFmt numFmtId="12" formatCode="&quot;$&quot;#,##0.00_);[Red]\(&quot;$&quot;#,##0.00\)"/>
      <fill>
        <patternFill patternType="solid">
          <fgColor indexed="64"/>
          <bgColor rgb="FFFFFF99"/>
        </patternFill>
      </fill>
      <alignment horizontal="center" vertical="top" textRotation="0" wrapText="1" relative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9"/>
        <color auto="1"/>
        <name val="Arial"/>
        <scheme val="none"/>
      </font>
      <fill>
        <patternFill patternType="solid">
          <fgColor indexed="64"/>
          <bgColor rgb="FFFFFF99"/>
        </patternFill>
      </fill>
      <alignment horizontal="center" vertical="top" textRotation="0" wrapText="1" relative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9"/>
        <color auto="1"/>
        <name val="Arial"/>
        <scheme val="none"/>
      </font>
      <numFmt numFmtId="0" formatCode="General"/>
      <fill>
        <patternFill patternType="solid">
          <fgColor indexed="64"/>
          <bgColor rgb="FFFFFF99"/>
        </patternFill>
      </fill>
      <alignment horizontal="general" vertical="top" textRotation="0" wrapText="1" relativeIndent="0" justifyLastLine="0" shrinkToFit="0" readingOrder="0"/>
      <border diagonalUp="0" diagonalDown="0">
        <left/>
        <right/>
        <top/>
        <bottom style="thin">
          <color theme="4" tint="0.39997558519241921"/>
        </bottom>
      </border>
      <protection locked="0" hidden="0"/>
    </dxf>
    <dxf>
      <border outline="0">
        <left style="thin">
          <color theme="4" tint="0.39997558519241921"/>
        </left>
        <right style="thin">
          <color theme="4" tint="0.39997558519241921"/>
        </right>
        <top style="thin">
          <color theme="4" tint="0.39997558519241921"/>
        </top>
        <bottom style="thin">
          <color theme="4" tint="0.39997558519241921"/>
        </bottom>
      </border>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top" textRotation="0" wrapText="1" relativeIndent="0" justifyLastLine="0" shrinkToFit="0" readingOrder="0"/>
      <protection locked="1" hidden="0"/>
    </dxf>
    <dxf>
      <border outline="0">
        <bottom style="thin">
          <color theme="4" tint="0.39997558519241921"/>
        </bottom>
      </border>
    </dxf>
    <dxf>
      <font>
        <b/>
        <i val="0"/>
        <strike val="0"/>
        <condense val="0"/>
        <extend val="0"/>
        <outline val="0"/>
        <shadow val="0"/>
        <u val="none"/>
        <vertAlign val="baseline"/>
        <sz val="10"/>
        <color rgb="FFFFFF00"/>
        <name val="Arial"/>
        <scheme val="none"/>
      </font>
      <fill>
        <patternFill patternType="none">
          <fgColor indexed="64"/>
          <bgColor indexed="65"/>
        </patternFill>
      </fill>
      <alignment horizontal="center" vertical="top" textRotation="0" wrapText="1" indent="0" justifyLastLine="0" shrinkToFit="0" readingOrder="0"/>
      <protection locked="1" hidden="0"/>
    </dxf>
    <dxf>
      <alignment horizontal="center" vertical="bottom" textRotation="0" wrapText="0" indent="0" justifyLastLine="0" shrinkToFit="0" readingOrder="0"/>
      <protection locked="1" hidden="0"/>
    </dxf>
    <dxf>
      <alignment horizontal="center" vertical="bottom" textRotation="0" wrapText="0" indent="0" justifyLastLine="0" shrinkToFit="0" readingOrder="0"/>
      <protection locked="1" hidden="0"/>
    </dxf>
    <dxf>
      <protection locked="1" hidden="0"/>
    </dxf>
    <dxf>
      <protection locked="1" hidden="0"/>
    </dxf>
    <dxf>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rgb="FFFFFF00"/>
        <name val="Calibri"/>
        <scheme val="minor"/>
      </font>
      <numFmt numFmtId="0" formatCode="General"/>
      <fill>
        <patternFill patternType="none">
          <fgColor indexed="64"/>
          <bgColor indexed="65"/>
        </patternFill>
      </fill>
      <alignment horizontal="general" vertical="top" textRotation="0" wrapText="0" indent="0" justifyLastLine="0" shrinkToFit="0" readingOrder="0"/>
      <protection locked="1" hidden="0"/>
    </dxf>
    <dxf>
      <font>
        <b val="0"/>
        <i val="0"/>
        <strike val="0"/>
        <condense val="0"/>
        <extend val="0"/>
        <outline val="0"/>
        <shadow val="0"/>
        <u val="none"/>
        <vertAlign val="baseline"/>
        <sz val="12"/>
        <color auto="1"/>
        <name val="Calibri"/>
        <scheme val="minor"/>
      </font>
      <numFmt numFmtId="5" formatCode="#,##0_);\(#,##0\)"/>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center" vertical="bottom" textRotation="0" wrapText="0" 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center" vertical="bottom" textRotation="0" wrapText="0" 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general" vertical="bottom" textRotation="0" wrapText="0" relativeIndent="0" justifyLastLine="0" shrinkToFit="0" readingOrder="0"/>
      <protection locked="1" hidden="0"/>
    </dxf>
    <dxf>
      <font>
        <strike val="0"/>
        <outline val="0"/>
        <shadow val="0"/>
        <u val="none"/>
        <vertAlign val="baseline"/>
        <color rgb="FFFFFF00"/>
      </font>
      <alignment vertical="top" textRotation="0" indent="0" justifyLastLine="0" shrinkToFit="0" readingOrder="0"/>
      <protection locked="1" hidden="0"/>
    </dxf>
    <dxf>
      <font>
        <b val="0"/>
        <i val="0"/>
        <strike val="0"/>
        <condense val="0"/>
        <extend val="0"/>
        <outline val="0"/>
        <shadow val="0"/>
        <u val="none"/>
        <vertAlign val="baseline"/>
        <sz val="10"/>
        <color theme="1"/>
        <name val="Arial"/>
        <scheme val="none"/>
      </font>
      <numFmt numFmtId="2" formatCode="0.00"/>
      <fill>
        <patternFill patternType="solid">
          <fgColor indexed="64"/>
          <bgColor theme="0" tint="-0.14999847407452621"/>
        </patternFill>
      </fill>
      <border diagonalUp="0" diagonalDown="0">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2" formatCode="0.00"/>
      <fill>
        <patternFill patternType="solid">
          <fgColor indexed="64"/>
          <bgColor theme="0" tint="-0.14999847407452621"/>
        </patternFill>
      </fill>
      <border diagonalUp="0" diagonalDown="0">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2" formatCode="0.00"/>
      <fill>
        <patternFill patternType="solid">
          <fgColor indexed="64"/>
          <bgColor theme="0" tint="-0.14999847407452621"/>
        </patternFill>
      </fill>
      <border diagonalUp="0" diagonalDown="0">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2" formatCode="0.00"/>
      <fill>
        <patternFill patternType="solid">
          <fgColor indexed="64"/>
          <bgColor theme="0" tint="-0.14999847407452621"/>
        </patternFill>
      </fill>
      <border diagonalUp="0" diagonalDown="0">
        <left style="thin">
          <color theme="4" tint="0.39997558519241921"/>
        </left>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164" formatCode="_(* #,##0_);_(* \(#,##0\);_(* &quot;-&quot;??_);_(@_)"/>
      <fill>
        <patternFill patternType="solid">
          <fgColor indexed="64"/>
          <bgColor theme="0" tint="-0.14999847407452621"/>
        </patternFill>
      </fill>
      <border diagonalUp="0" diagonalDown="0">
        <left style="thin">
          <color theme="4" tint="0.39997558519241921"/>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164" formatCode="_(* #,##0_);_(* \(#,##0\);_(* &quot;-&quot;??_);_(@_)"/>
      <fill>
        <patternFill patternType="solid">
          <fgColor indexed="64"/>
          <bgColor theme="0" tint="-0.14999847407452621"/>
        </patternFill>
      </fill>
      <border diagonalUp="0" diagonalDown="0">
        <left/>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2" formatCode="0.00"/>
      <fill>
        <patternFill patternType="solid">
          <fgColor indexed="64"/>
          <bgColor theme="0" tint="-0.14999847407452621"/>
        </patternFill>
      </fill>
      <border diagonalUp="0" diagonalDown="0">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164" formatCode="_(* #,##0_);_(* \(#,##0\);_(* &quot;-&quot;??_);_(@_)"/>
      <fill>
        <patternFill patternType="solid">
          <fgColor indexed="64"/>
          <bgColor theme="0" tint="-0.14999847407452621"/>
        </patternFill>
      </fill>
      <alignment horizontal="center" vertical="bottom" textRotation="0" wrapText="0" relativeIndent="0" justifyLastLine="0" shrinkToFit="0" readingOrder="0"/>
      <border diagonalUp="0" diagonalDown="0">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1" formatCode="0"/>
      <fill>
        <patternFill patternType="solid">
          <fgColor indexed="64"/>
          <bgColor rgb="FFFFFF99"/>
        </patternFill>
      </fill>
      <alignment horizontal="center" vertical="bottom" textRotation="0" wrapText="0" 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10"/>
        <color theme="1"/>
        <name val="Arial"/>
        <scheme val="none"/>
      </font>
      <numFmt numFmtId="1" formatCode="0"/>
      <fill>
        <patternFill patternType="solid">
          <fgColor indexed="64"/>
          <bgColor rgb="FFFFFF99"/>
        </patternFill>
      </fill>
      <alignment horizontal="center" vertical="bottom" textRotation="0" wrapText="0" 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10"/>
        <color theme="1"/>
        <name val="Arial"/>
        <scheme val="none"/>
      </font>
      <numFmt numFmtId="1" formatCode="0"/>
      <fill>
        <patternFill patternType="solid">
          <fgColor indexed="64"/>
          <bgColor rgb="FFFFFF99"/>
        </patternFill>
      </fill>
      <alignment horizontal="center" vertical="bottom" textRotation="0" wrapText="0" 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10"/>
        <color theme="1"/>
        <name val="Arial"/>
        <scheme val="none"/>
      </font>
      <numFmt numFmtId="1" formatCode="0"/>
      <fill>
        <patternFill patternType="solid">
          <fgColor indexed="64"/>
          <bgColor rgb="FFFFFF99"/>
        </patternFill>
      </fill>
      <alignment horizontal="center" vertical="bottom" textRotation="0" wrapText="0" relative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10"/>
        <color theme="1"/>
        <name val="Arial"/>
        <scheme val="none"/>
      </font>
      <numFmt numFmtId="164" formatCode="_(* #,##0_);_(* \(#,##0\);_(* &quot;-&quot;??_);_(@_)"/>
      <fill>
        <patternFill patternType="solid">
          <fgColor indexed="64"/>
          <bgColor rgb="FFFFFF99"/>
        </patternFill>
      </fill>
      <border diagonalUp="0" diagonalDown="0">
        <left/>
        <right/>
        <top/>
        <bottom style="thin">
          <color theme="4" tint="0.39997558519241921"/>
        </bottom>
      </border>
      <protection locked="0" hidden="0"/>
    </dxf>
    <dxf>
      <font>
        <b val="0"/>
        <i val="0"/>
        <strike val="0"/>
        <condense val="0"/>
        <extend val="0"/>
        <outline val="0"/>
        <shadow val="0"/>
        <u val="none"/>
        <vertAlign val="baseline"/>
        <sz val="10"/>
        <color theme="1"/>
        <name val="Arial"/>
        <scheme val="none"/>
      </font>
      <numFmt numFmtId="2" formatCode="0.00"/>
      <fill>
        <patternFill patternType="solid">
          <fgColor indexed="64"/>
          <bgColor rgb="FFFFFF99"/>
        </patternFill>
      </fill>
      <border diagonalUp="0" diagonalDown="0">
        <left/>
        <right/>
        <top/>
        <bottom style="thin">
          <color theme="4" tint="0.39997558519241921"/>
        </bottom>
      </border>
      <protection locked="0" hidden="0"/>
    </dxf>
    <dxf>
      <font>
        <b val="0"/>
        <i val="0"/>
        <strike val="0"/>
        <condense val="0"/>
        <extend val="0"/>
        <outline val="0"/>
        <shadow val="0"/>
        <u val="none"/>
        <vertAlign val="baseline"/>
        <sz val="10"/>
        <color theme="1"/>
        <name val="Arial"/>
        <scheme val="none"/>
      </font>
      <numFmt numFmtId="2" formatCode="0.00"/>
      <fill>
        <patternFill patternType="solid">
          <fgColor indexed="64"/>
          <bgColor rgb="FFFFFF99"/>
        </patternFill>
      </fill>
      <border diagonalUp="0" diagonalDown="0">
        <left/>
        <right/>
        <top/>
        <bottom style="thin">
          <color theme="4" tint="0.39997558519241921"/>
        </bottom>
      </border>
      <protection locked="0" hidden="0"/>
    </dxf>
    <dxf>
      <numFmt numFmtId="2" formatCode="0.00"/>
      <fill>
        <patternFill patternType="solid">
          <fgColor indexed="64"/>
          <bgColor rgb="FFFFFF99"/>
        </patternFill>
      </fill>
      <protection locked="0" hidden="0"/>
    </dxf>
    <dxf>
      <font>
        <b val="0"/>
        <i val="0"/>
        <strike val="0"/>
        <condense val="0"/>
        <extend val="0"/>
        <outline val="0"/>
        <shadow val="0"/>
        <u val="none"/>
        <vertAlign val="baseline"/>
        <sz val="10"/>
        <color theme="1"/>
        <name val="Arial"/>
        <scheme val="none"/>
      </font>
      <numFmt numFmtId="2" formatCode="0.00"/>
      <fill>
        <patternFill patternType="none">
          <fgColor indexed="64"/>
          <bgColor indexed="65"/>
        </patternFill>
      </fill>
      <alignment vertical="top" textRotation="0" relativeIndent="0" justifyLastLine="0" shrinkToFit="0" readingOrder="0"/>
      <protection locked="1" hidden="0"/>
    </dxf>
    <dxf>
      <font>
        <b/>
        <i val="0"/>
        <strike val="0"/>
        <condense val="0"/>
        <extend val="0"/>
        <outline val="0"/>
        <shadow val="0"/>
        <u val="none"/>
        <vertAlign val="baseline"/>
        <sz val="10"/>
        <color rgb="FFFFFF00"/>
        <name val="Arial"/>
        <scheme val="none"/>
      </font>
      <numFmt numFmtId="2" formatCode="0.00"/>
      <fill>
        <patternFill patternType="none">
          <fgColor indexed="64"/>
          <bgColor indexed="65"/>
        </patternFill>
      </fill>
      <alignment horizontal="center" vertical="bottom" textRotation="0" wrapText="1"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5" formatCode="#,##0_);\(#,##0\)"/>
      <fill>
        <patternFill patternType="none">
          <fgColor indexed="64"/>
          <bgColor indexed="65"/>
        </patternFill>
      </fill>
      <alignment horizontal="general" vertical="bottom" textRotation="0" wrapText="0" relativeIndent="0" justifyLastLine="0" shrinkToFit="0" readingOrder="0"/>
      <border diagonalUp="0" diagonalDown="0">
        <left/>
        <right/>
        <top/>
        <bottom style="thin">
          <color theme="5" tint="0.39997558519241921"/>
        </bottom>
      </border>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center" vertical="bottom" textRotation="0" wrapText="0" relativeIndent="0" justifyLastLine="0" shrinkToFit="0" readingOrder="0"/>
      <border diagonalUp="0" diagonalDown="0">
        <left/>
        <right/>
        <top/>
        <bottom style="thin">
          <color theme="5" tint="0.39997558519241921"/>
        </bottom>
      </border>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center" vertical="bottom" textRotation="0" wrapText="0" relativeIndent="0" justifyLastLine="0" shrinkToFit="0" readingOrder="0"/>
      <border diagonalUp="0" diagonalDown="0">
        <left/>
        <right/>
        <top/>
        <bottom style="thin">
          <color theme="5" tint="0.39997558519241921"/>
        </bottom>
      </border>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border diagonalUp="0" diagonalDown="0">
        <left/>
        <right/>
        <top/>
        <bottom style="thin">
          <color theme="5" tint="0.39997558519241921"/>
        </bottom>
      </border>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border diagonalUp="0" diagonalDown="0">
        <left/>
        <right/>
        <top/>
        <bottom style="thin">
          <color theme="5" tint="0.39997558519241921"/>
        </bottom>
      </border>
      <protection locked="1" hidden="0"/>
    </dxf>
    <dxf>
      <border outline="0">
        <left style="thin">
          <color theme="5" tint="0.39997558519241921"/>
        </left>
        <right style="thin">
          <color theme="5" tint="0.39997558519241921"/>
        </right>
        <top style="thin">
          <color theme="5" tint="0.39997558519241921"/>
        </top>
        <bottom style="thin">
          <color theme="5" tint="0.39997558519241921"/>
        </bottom>
      </border>
    </dxf>
    <dxf>
      <fill>
        <patternFill patternType="none">
          <fgColor indexed="64"/>
          <bgColor auto="1"/>
        </patternFill>
      </fill>
      <protection locked="1" hidden="0"/>
    </dxf>
    <dxf>
      <border outline="0">
        <bottom style="thin">
          <color theme="5" tint="0.39997558519241921"/>
        </bottom>
      </border>
    </dxf>
    <dxf>
      <font>
        <b/>
        <i val="0"/>
        <strike val="0"/>
        <condense val="0"/>
        <extend val="0"/>
        <outline val="0"/>
        <shadow val="0"/>
        <u val="none"/>
        <vertAlign val="baseline"/>
        <sz val="10"/>
        <color auto="1"/>
        <name val="Arial"/>
        <scheme val="none"/>
      </font>
      <fill>
        <patternFill patternType="none">
          <fgColor indexed="64"/>
          <bgColor indexed="65"/>
        </patternFill>
      </fill>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numFmt numFmtId="164" formatCode="_(* #,##0_);_(* \(#,##0\);_(* &quot;-&quot;??_);_(@_)"/>
      <fill>
        <patternFill patternType="solid">
          <fgColor indexed="64"/>
          <bgColor rgb="FFFFFF99"/>
        </patternFill>
      </fill>
      <protection locked="0" hidden="0"/>
    </dxf>
    <dxf>
      <fill>
        <patternFill patternType="solid">
          <fgColor indexed="64"/>
          <bgColor rgb="FFFFFF99"/>
        </patternFill>
      </fill>
      <protection locked="0" hidden="0"/>
    </dxf>
    <dxf>
      <fill>
        <patternFill patternType="solid">
          <fgColor indexed="64"/>
          <bgColor theme="0"/>
        </patternFill>
      </fill>
    </dxf>
    <dxf>
      <fill>
        <patternFill>
          <bgColor theme="0"/>
        </patternFill>
      </fill>
    </dxf>
  </dxfs>
  <tableStyles count="1" defaultTableStyle="TableStyleMedium9" defaultPivotStyle="PivotStyleLight16">
    <tableStyle name="Table Style 1" pivot="0" count="0"/>
  </tableStyles>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'Depreciation Graph'!$M$1</c:f>
              <c:strCache>
                <c:ptCount val="1"/>
                <c:pt idx="0">
                  <c:v>Combines</c:v>
                </c:pt>
              </c:strCache>
            </c:strRef>
          </c:tx>
          <c:marker>
            <c:symbol val="none"/>
          </c:marker>
          <c:val>
            <c:numRef>
              <c:f>'Depreciation Graph'!$M$2:$M$21</c:f>
              <c:numCache>
                <c:formatCode>General</c:formatCode>
                <c:ptCount val="20"/>
                <c:pt idx="0">
                  <c:v>0.93508899999999973</c:v>
                </c:pt>
                <c:pt idx="1">
                  <c:v>0.80758038163990642</c:v>
                </c:pt>
                <c:pt idx="2">
                  <c:v>0.71607410032456997</c:v>
                </c:pt>
                <c:pt idx="3">
                  <c:v>0.64320399999999966</c:v>
                </c:pt>
                <c:pt idx="4">
                  <c:v>0.58224344632517844</c:v>
                </c:pt>
                <c:pt idx="5">
                  <c:v>0.52974261168591585</c:v>
                </c:pt>
                <c:pt idx="6">
                  <c:v>0.48365214023871145</c:v>
                </c:pt>
                <c:pt idx="7">
                  <c:v>0.44263676327981305</c:v>
                </c:pt>
                <c:pt idx="8">
                  <c:v>0.40576899999999988</c:v>
                </c:pt>
                <c:pt idx="9">
                  <c:v>0.37237355726750004</c:v>
                </c:pt>
                <c:pt idx="10">
                  <c:v>0.34194064331483676</c:v>
                </c:pt>
                <c:pt idx="11">
                  <c:v>0.31407420064914032</c:v>
                </c:pt>
                <c:pt idx="12">
                  <c:v>0.28845926553767204</c:v>
                </c:pt>
                <c:pt idx="13">
                  <c:v>0.26484046659672628</c:v>
                </c:pt>
                <c:pt idx="14">
                  <c:v>0.2430073411907572</c:v>
                </c:pt>
                <c:pt idx="15">
                  <c:v>0.22278399999999987</c:v>
                </c:pt>
                <c:pt idx="16">
                  <c:v>0.20402166249426656</c:v>
                </c:pt>
                <c:pt idx="17">
                  <c:v>0.18659314491971973</c:v>
                </c:pt>
                <c:pt idx="18">
                  <c:v>0.17038871065094577</c:v>
                </c:pt>
                <c:pt idx="19">
                  <c:v>0.15531289265035694</c:v>
                </c:pt>
              </c:numCache>
            </c:numRef>
          </c:val>
          <c:smooth val="0"/>
        </c:ser>
        <c:ser>
          <c:idx val="1"/>
          <c:order val="1"/>
          <c:tx>
            <c:strRef>
              <c:f>'Depreciation Graph'!$N$1</c:f>
              <c:strCache>
                <c:ptCount val="1"/>
                <c:pt idx="0">
                  <c:v>Mowers</c:v>
                </c:pt>
              </c:strCache>
            </c:strRef>
          </c:tx>
          <c:marker>
            <c:symbol val="none"/>
          </c:marker>
          <c:val>
            <c:numRef>
              <c:f>'Depreciation Graph'!$N$2:$N$21</c:f>
              <c:numCache>
                <c:formatCode>General</c:formatCode>
                <c:ptCount val="20"/>
                <c:pt idx="0">
                  <c:v>0.47472100000000006</c:v>
                </c:pt>
                <c:pt idx="1">
                  <c:v>0.43724850927735592</c:v>
                </c:pt>
                <c:pt idx="2">
                  <c:v>0.40953932499004247</c:v>
                </c:pt>
                <c:pt idx="3">
                  <c:v>0.38688400000000001</c:v>
                </c:pt>
                <c:pt idx="4">
                  <c:v>0.36745836960736133</c:v>
                </c:pt>
                <c:pt idx="5">
                  <c:v>0.35032689109709297</c:v>
                </c:pt>
                <c:pt idx="6">
                  <c:v>0.33493380918391269</c:v>
                </c:pt>
                <c:pt idx="7">
                  <c:v>0.320917018554712</c:v>
                </c:pt>
                <c:pt idx="8">
                  <c:v>0.30802499999999994</c:v>
                </c:pt>
                <c:pt idx="9">
                  <c:v>0.2960746239143025</c:v>
                </c:pt>
                <c:pt idx="10">
                  <c:v>0.28492764223783656</c:v>
                </c:pt>
                <c:pt idx="11">
                  <c:v>0.27447664998008492</c:v>
                </c:pt>
                <c:pt idx="12">
                  <c:v>0.26463623359039606</c:v>
                </c:pt>
                <c:pt idx="13">
                  <c:v>0.25533714009025266</c:v>
                </c:pt>
                <c:pt idx="14">
                  <c:v>0.24652229509580381</c:v>
                </c:pt>
                <c:pt idx="15">
                  <c:v>0.23814399999999999</c:v>
                </c:pt>
                <c:pt idx="16">
                  <c:v>0.23016190770242853</c:v>
                </c:pt>
                <c:pt idx="17">
                  <c:v>0.22254152783206796</c:v>
                </c:pt>
                <c:pt idx="18">
                  <c:v>0.21525310142355558</c:v>
                </c:pt>
                <c:pt idx="19">
                  <c:v>0.20827073921472258</c:v>
                </c:pt>
              </c:numCache>
            </c:numRef>
          </c:val>
          <c:smooth val="0"/>
        </c:ser>
        <c:ser>
          <c:idx val="2"/>
          <c:order val="2"/>
          <c:tx>
            <c:strRef>
              <c:f>'Depreciation Graph'!$O$1</c:f>
              <c:strCache>
                <c:ptCount val="1"/>
                <c:pt idx="0">
                  <c:v>Balers</c:v>
                </c:pt>
              </c:strCache>
            </c:strRef>
          </c:tx>
          <c:marker>
            <c:symbol val="none"/>
          </c:marker>
          <c:val>
            <c:numRef>
              <c:f>'Depreciation Graph'!$O$2:$O$21</c:f>
              <c:numCache>
                <c:formatCode>General</c:formatCode>
                <c:ptCount val="20"/>
                <c:pt idx="0">
                  <c:v>0.56400099999999997</c:v>
                </c:pt>
                <c:pt idx="1">
                  <c:v>0.50291418906134078</c:v>
                </c:pt>
                <c:pt idx="2">
                  <c:v>0.45841412781416585</c:v>
                </c:pt>
                <c:pt idx="3">
                  <c:v>0.42249999999999988</c:v>
                </c:pt>
                <c:pt idx="4">
                  <c:v>0.39207275680037612</c:v>
                </c:pt>
                <c:pt idx="5">
                  <c:v>0.36554301730804389</c:v>
                </c:pt>
                <c:pt idx="6">
                  <c:v>0.34196661636053971</c:v>
                </c:pt>
                <c:pt idx="7">
                  <c:v>0.32072837812268157</c:v>
                </c:pt>
                <c:pt idx="8">
                  <c:v>0.30140099999999992</c:v>
                </c:pt>
                <c:pt idx="9">
                  <c:v>0.28367336557438111</c:v>
                </c:pt>
                <c:pt idx="10">
                  <c:v>0.26731060708067417</c:v>
                </c:pt>
                <c:pt idx="11">
                  <c:v>0.25213025562833186</c:v>
                </c:pt>
                <c:pt idx="12">
                  <c:v>0.23798720328754555</c:v>
                </c:pt>
                <c:pt idx="13">
                  <c:v>0.22476379710665753</c:v>
                </c:pt>
                <c:pt idx="14">
                  <c:v>0.21236307418431866</c:v>
                </c:pt>
                <c:pt idx="15">
                  <c:v>0.20070399999999997</c:v>
                </c:pt>
                <c:pt idx="16">
                  <c:v>0.18971802940869809</c:v>
                </c:pt>
                <c:pt idx="17">
                  <c:v>0.17934656718402256</c:v>
                </c:pt>
                <c:pt idx="18">
                  <c:v>0.16953905622087587</c:v>
                </c:pt>
                <c:pt idx="19">
                  <c:v>0.16025151360075235</c:v>
                </c:pt>
              </c:numCache>
            </c:numRef>
          </c:val>
          <c:smooth val="0"/>
        </c:ser>
        <c:ser>
          <c:idx val="3"/>
          <c:order val="3"/>
          <c:tx>
            <c:strRef>
              <c:f>'Depreciation Graph'!$P$1</c:f>
              <c:strCache>
                <c:ptCount val="1"/>
                <c:pt idx="0">
                  <c:v>Harvest Other</c:v>
                </c:pt>
              </c:strCache>
            </c:strRef>
          </c:tx>
          <c:marker>
            <c:symbol val="none"/>
          </c:marker>
          <c:val>
            <c:numRef>
              <c:f>'Depreciation Graph'!$P$2:$P$21</c:f>
              <c:numCache>
                <c:formatCode>General</c:formatCode>
                <c:ptCount val="20"/>
                <c:pt idx="0">
                  <c:v>0.4900000000000001</c:v>
                </c:pt>
                <c:pt idx="1">
                  <c:v>0.4386499871336445</c:v>
                </c:pt>
                <c:pt idx="2">
                  <c:v>0.40117450164076934</c:v>
                </c:pt>
                <c:pt idx="3">
                  <c:v>0.37088099999999996</c:v>
                </c:pt>
                <c:pt idx="4">
                  <c:v>0.34517718182317542</c:v>
                </c:pt>
                <c:pt idx="5">
                  <c:v>0.32273355764944822</c:v>
                </c:pt>
                <c:pt idx="6">
                  <c:v>0.3027603497565195</c:v>
                </c:pt>
                <c:pt idx="7">
                  <c:v>0.28474297426728906</c:v>
                </c:pt>
                <c:pt idx="8">
                  <c:v>0.26832400000000001</c:v>
                </c:pt>
                <c:pt idx="9">
                  <c:v>0.25324318348683983</c:v>
                </c:pt>
                <c:pt idx="10">
                  <c:v>0.23930406193085599</c:v>
                </c:pt>
                <c:pt idx="11">
                  <c:v>0.22635400328153865</c:v>
                </c:pt>
                <c:pt idx="12">
                  <c:v>0.21427162728165322</c:v>
                </c:pt>
                <c:pt idx="13">
                  <c:v>0.20295851928524988</c:v>
                </c:pt>
                <c:pt idx="14">
                  <c:v>0.19233357151328787</c:v>
                </c:pt>
                <c:pt idx="15">
                  <c:v>0.18232900000000005</c:v>
                </c:pt>
                <c:pt idx="16">
                  <c:v>0.17288746792483037</c:v>
                </c:pt>
                <c:pt idx="17">
                  <c:v>0.16395996140093352</c:v>
                </c:pt>
                <c:pt idx="18">
                  <c:v>0.15550419028999754</c:v>
                </c:pt>
                <c:pt idx="19">
                  <c:v>0.14748336364635059</c:v>
                </c:pt>
              </c:numCache>
            </c:numRef>
          </c:val>
          <c:smooth val="0"/>
        </c:ser>
        <c:ser>
          <c:idx val="4"/>
          <c:order val="4"/>
          <c:tx>
            <c:strRef>
              <c:f>'Depreciation Graph'!$Q$1</c:f>
              <c:strCache>
                <c:ptCount val="1"/>
                <c:pt idx="0">
                  <c:v>Plows</c:v>
                </c:pt>
              </c:strCache>
            </c:strRef>
          </c:tx>
          <c:marker>
            <c:symbol val="none"/>
          </c:marker>
          <c:val>
            <c:numRef>
              <c:f>'Depreciation Graph'!$Q$2:$Q$21</c:f>
              <c:numCache>
                <c:formatCode>General</c:formatCode>
                <c:ptCount val="20"/>
                <c:pt idx="0">
                  <c:v>0.47196899999999992</c:v>
                </c:pt>
                <c:pt idx="1">
                  <c:v>0.44338965987880286</c:v>
                </c:pt>
                <c:pt idx="2">
                  <c:v>0.42206514340944518</c:v>
                </c:pt>
                <c:pt idx="3">
                  <c:v>0.40449600000000002</c:v>
                </c:pt>
                <c:pt idx="4">
                  <c:v>0.38932674692572572</c:v>
                </c:pt>
                <c:pt idx="5">
                  <c:v>0.3758622101222534</c:v>
                </c:pt>
                <c:pt idx="6">
                  <c:v>0.36368942430830187</c:v>
                </c:pt>
                <c:pt idx="7">
                  <c:v>0.35253931975760572</c:v>
                </c:pt>
                <c:pt idx="8">
                  <c:v>0.34222499999999995</c:v>
                </c:pt>
                <c:pt idx="9">
                  <c:v>0.33261038685316513</c:v>
                </c:pt>
                <c:pt idx="10">
                  <c:v>0.32359275228120699</c:v>
                </c:pt>
                <c:pt idx="11">
                  <c:v>0.3150922868188904</c:v>
                </c:pt>
                <c:pt idx="12">
                  <c:v>0.30704552218817283</c:v>
                </c:pt>
                <c:pt idx="13">
                  <c:v>0.29940099855320479</c:v>
                </c:pt>
                <c:pt idx="14">
                  <c:v>0.29211630563089042</c:v>
                </c:pt>
                <c:pt idx="15">
                  <c:v>0.28515600000000002</c:v>
                </c:pt>
                <c:pt idx="16">
                  <c:v>0.27849010092600496</c:v>
                </c:pt>
                <c:pt idx="17">
                  <c:v>0.27209297963640872</c:v>
                </c:pt>
                <c:pt idx="18">
                  <c:v>0.26594252312603217</c:v>
                </c:pt>
                <c:pt idx="19">
                  <c:v>0.26001949385145162</c:v>
                </c:pt>
              </c:numCache>
            </c:numRef>
          </c:val>
          <c:smooth val="0"/>
        </c:ser>
        <c:ser>
          <c:idx val="5"/>
          <c:order val="5"/>
          <c:tx>
            <c:strRef>
              <c:f>'Depreciation Graph'!$R$1</c:f>
              <c:strCache>
                <c:ptCount val="1"/>
                <c:pt idx="0">
                  <c:v>Tillage Other</c:v>
                </c:pt>
              </c:strCache>
            </c:strRef>
          </c:tx>
          <c:marker>
            <c:symbol val="none"/>
          </c:marker>
          <c:val>
            <c:numRef>
              <c:f>'Depreciation Graph'!$R$2:$R$21</c:f>
              <c:numCache>
                <c:formatCode>General</c:formatCode>
                <c:ptCount val="20"/>
                <c:pt idx="0">
                  <c:v>0.60996100000000009</c:v>
                </c:pt>
                <c:pt idx="1">
                  <c:v>0.54086685750362595</c:v>
                </c:pt>
                <c:pt idx="2">
                  <c:v>0.49066440070034867</c:v>
                </c:pt>
                <c:pt idx="3">
                  <c:v>0.45024100000000006</c:v>
                </c:pt>
                <c:pt idx="4">
                  <c:v>0.41606695505049113</c:v>
                </c:pt>
                <c:pt idx="5">
                  <c:v>0.38633202061964145</c:v>
                </c:pt>
                <c:pt idx="6">
                  <c:v>0.35996082800511897</c:v>
                </c:pt>
                <c:pt idx="7">
                  <c:v>0.33625271500725185</c:v>
                </c:pt>
                <c:pt idx="8">
                  <c:v>0.31472099999999992</c:v>
                </c:pt>
                <c:pt idx="9">
                  <c:v>0.29501133305379423</c:v>
                </c:pt>
                <c:pt idx="10">
                  <c:v>0.27685620859453458</c:v>
                </c:pt>
                <c:pt idx="11">
                  <c:v>0.26004780140069728</c:v>
                </c:pt>
                <c:pt idx="12">
                  <c:v>0.24442083898354883</c:v>
                </c:pt>
                <c:pt idx="13">
                  <c:v>0.22984131904457203</c:v>
                </c:pt>
                <c:pt idx="14">
                  <c:v>0.21619880447642217</c:v>
                </c:pt>
                <c:pt idx="15">
                  <c:v>0.203401</c:v>
                </c:pt>
                <c:pt idx="16">
                  <c:v>0.19136983526642617</c:v>
                </c:pt>
                <c:pt idx="17">
                  <c:v>0.18003857251087776</c:v>
                </c:pt>
                <c:pt idx="18">
                  <c:v>0.16934962908715717</c:v>
                </c:pt>
                <c:pt idx="19">
                  <c:v>0.15925291010098244</c:v>
                </c:pt>
              </c:numCache>
            </c:numRef>
          </c:val>
          <c:smooth val="0"/>
        </c:ser>
        <c:ser>
          <c:idx val="6"/>
          <c:order val="6"/>
          <c:tx>
            <c:strRef>
              <c:f>'Depreciation Graph'!$S$1</c:f>
              <c:strCache>
                <c:ptCount val="1"/>
                <c:pt idx="0">
                  <c:v>Vehicles</c:v>
                </c:pt>
              </c:strCache>
            </c:strRef>
          </c:tx>
          <c:marker>
            <c:symbol val="none"/>
          </c:marker>
          <c:val>
            <c:numRef>
              <c:f>'Depreciation Graph'!$S$2:$S$21</c:f>
              <c:numCache>
                <c:formatCode>General</c:formatCode>
                <c:ptCount val="20"/>
                <c:pt idx="0">
                  <c:v>0.52272900000000011</c:v>
                </c:pt>
                <c:pt idx="1">
                  <c:v>0.48567594563681826</c:v>
                </c:pt>
                <c:pt idx="2">
                  <c:v>0.45816761622160873</c:v>
                </c:pt>
                <c:pt idx="3">
                  <c:v>0.43560000000000004</c:v>
                </c:pt>
                <c:pt idx="4">
                  <c:v>0.4161897717803309</c:v>
                </c:pt>
                <c:pt idx="5">
                  <c:v>0.39902233383372521</c:v>
                </c:pt>
                <c:pt idx="6">
                  <c:v>0.38355437315740726</c:v>
                </c:pt>
                <c:pt idx="7">
                  <c:v>0.36943189127363629</c:v>
                </c:pt>
                <c:pt idx="8">
                  <c:v>0.35640899999999998</c:v>
                </c:pt>
                <c:pt idx="9">
                  <c:v>0.3443066696475644</c:v>
                </c:pt>
                <c:pt idx="10">
                  <c:v>0.33298974726236269</c:v>
                </c:pt>
                <c:pt idx="11">
                  <c:v>0.32235323244321745</c:v>
                </c:pt>
                <c:pt idx="12">
                  <c:v>0.31231362388314837</c:v>
                </c:pt>
                <c:pt idx="13">
                  <c:v>0.30280321904345592</c:v>
                </c:pt>
                <c:pt idx="14">
                  <c:v>0.29376622132500235</c:v>
                </c:pt>
                <c:pt idx="15">
                  <c:v>0.28515600000000002</c:v>
                </c:pt>
                <c:pt idx="16">
                  <c:v>0.27693311126132947</c:v>
                </c:pt>
                <c:pt idx="17">
                  <c:v>0.26906383691045449</c:v>
                </c:pt>
                <c:pt idx="18">
                  <c:v>0.26151908422750586</c:v>
                </c:pt>
                <c:pt idx="19">
                  <c:v>0.25427354356066173</c:v>
                </c:pt>
              </c:numCache>
            </c:numRef>
          </c:val>
          <c:smooth val="0"/>
        </c:ser>
        <c:ser>
          <c:idx val="7"/>
          <c:order val="7"/>
          <c:tx>
            <c:strRef>
              <c:f>'Depreciation Graph'!$T$1</c:f>
              <c:strCache>
                <c:ptCount val="1"/>
                <c:pt idx="0">
                  <c:v>Planters</c:v>
                </c:pt>
              </c:strCache>
            </c:strRef>
          </c:tx>
          <c:marker>
            <c:symbol val="none"/>
          </c:marker>
          <c:val>
            <c:numRef>
              <c:f>'Depreciation Graph'!$T$2:$T$21</c:f>
              <c:numCache>
                <c:formatCode>General</c:formatCode>
                <c:ptCount val="20"/>
                <c:pt idx="0">
                  <c:v>0.64802500000000007</c:v>
                </c:pt>
                <c:pt idx="1">
                  <c:v>0.59705191021023085</c:v>
                </c:pt>
                <c:pt idx="2">
                  <c:v>0.55935446535900235</c:v>
                </c:pt>
                <c:pt idx="3">
                  <c:v>0.52852899999999992</c:v>
                </c:pt>
                <c:pt idx="4">
                  <c:v>0.50209510823535897</c:v>
                </c:pt>
                <c:pt idx="5">
                  <c:v>0.47878068691110282</c:v>
                </c:pt>
                <c:pt idx="6">
                  <c:v>0.45783004840347474</c:v>
                </c:pt>
                <c:pt idx="7">
                  <c:v>0.43875082042046182</c:v>
                </c:pt>
                <c:pt idx="8">
                  <c:v>0.42120100000000005</c:v>
                </c:pt>
                <c:pt idx="9">
                  <c:v>0.40493157686712605</c:v>
                </c:pt>
                <c:pt idx="10">
                  <c:v>0.38975456837812444</c:v>
                </c:pt>
                <c:pt idx="11">
                  <c:v>0.37552393071800461</c:v>
                </c:pt>
                <c:pt idx="12">
                  <c:v>0.36212352290738653</c:v>
                </c:pt>
                <c:pt idx="13">
                  <c:v>0.34945917828666312</c:v>
                </c:pt>
                <c:pt idx="14">
                  <c:v>0.33745329002662078</c:v>
                </c:pt>
                <c:pt idx="15">
                  <c:v>0.32604099999999997</c:v>
                </c:pt>
                <c:pt idx="16">
                  <c:v>0.3151674462824185</c:v>
                </c:pt>
                <c:pt idx="17">
                  <c:v>0.30478573063069264</c:v>
                </c:pt>
                <c:pt idx="18">
                  <c:v>0.29485538832515923</c:v>
                </c:pt>
                <c:pt idx="19">
                  <c:v>0.28534121647071786</c:v>
                </c:pt>
              </c:numCache>
            </c:numRef>
          </c:val>
          <c:smooth val="0"/>
        </c:ser>
        <c:ser>
          <c:idx val="8"/>
          <c:order val="8"/>
          <c:tx>
            <c:strRef>
              <c:f>'Depreciation Graph'!$U$1</c:f>
              <c:strCache>
                <c:ptCount val="1"/>
                <c:pt idx="0">
                  <c:v>Misc</c:v>
                </c:pt>
              </c:strCache>
            </c:strRef>
          </c:tx>
          <c:marker>
            <c:symbol val="none"/>
          </c:marker>
          <c:val>
            <c:numRef>
              <c:f>'Depreciation Graph'!$U$2:$U$21</c:f>
              <c:numCache>
                <c:formatCode>General</c:formatCode>
                <c:ptCount val="20"/>
                <c:pt idx="0">
                  <c:v>0.69222399999999995</c:v>
                </c:pt>
                <c:pt idx="1">
                  <c:v>0.61783104757144203</c:v>
                </c:pt>
                <c:pt idx="2">
                  <c:v>0.56361409163868581</c:v>
                </c:pt>
                <c:pt idx="3">
                  <c:v>0.519841</c:v>
                </c:pt>
                <c:pt idx="4">
                  <c:v>0.4827421131823289</c:v>
                </c:pt>
                <c:pt idx="5">
                  <c:v>0.45038412030731279</c:v>
                </c:pt>
                <c:pt idx="6">
                  <c:v>0.42161854603387217</c:v>
                </c:pt>
                <c:pt idx="7">
                  <c:v>0.39569709514288404</c:v>
                </c:pt>
                <c:pt idx="8">
                  <c:v>0.37209999999999988</c:v>
                </c:pt>
                <c:pt idx="9">
                  <c:v>0.35044882095439045</c:v>
                </c:pt>
                <c:pt idx="10">
                  <c:v>0.33045786663825838</c:v>
                </c:pt>
                <c:pt idx="11">
                  <c:v>0.3119051832773716</c:v>
                </c:pt>
                <c:pt idx="12">
                  <c:v>0.29461426268671564</c:v>
                </c:pt>
                <c:pt idx="13">
                  <c:v>0.27844199270842246</c:v>
                </c:pt>
                <c:pt idx="14">
                  <c:v>0.26327042840486203</c:v>
                </c:pt>
                <c:pt idx="15">
                  <c:v>0.24900099999999994</c:v>
                </c:pt>
                <c:pt idx="16">
                  <c:v>0.23555032969944517</c:v>
                </c:pt>
                <c:pt idx="17">
                  <c:v>0.22284714271432615</c:v>
                </c:pt>
                <c:pt idx="18">
                  <c:v>0.21082994176553407</c:v>
                </c:pt>
                <c:pt idx="19">
                  <c:v>0.19944522636465797</c:v>
                </c:pt>
              </c:numCache>
            </c:numRef>
          </c:val>
          <c:smooth val="0"/>
        </c:ser>
        <c:dLbls>
          <c:showLegendKey val="0"/>
          <c:showVal val="0"/>
          <c:showCatName val="0"/>
          <c:showSerName val="0"/>
          <c:showPercent val="0"/>
          <c:showBubbleSize val="0"/>
        </c:dLbls>
        <c:smooth val="0"/>
        <c:axId val="448486808"/>
        <c:axId val="448487200"/>
      </c:lineChart>
      <c:catAx>
        <c:axId val="448486808"/>
        <c:scaling>
          <c:orientation val="minMax"/>
        </c:scaling>
        <c:delete val="0"/>
        <c:axPos val="b"/>
        <c:majorTickMark val="out"/>
        <c:minorTickMark val="none"/>
        <c:tickLblPos val="nextTo"/>
        <c:crossAx val="448487200"/>
        <c:crosses val="autoZero"/>
        <c:auto val="1"/>
        <c:lblAlgn val="ctr"/>
        <c:lblOffset val="100"/>
        <c:noMultiLvlLbl val="0"/>
      </c:catAx>
      <c:valAx>
        <c:axId val="448487200"/>
        <c:scaling>
          <c:orientation val="minMax"/>
        </c:scaling>
        <c:delete val="0"/>
        <c:axPos val="l"/>
        <c:majorGridlines/>
        <c:numFmt formatCode="General" sourceLinked="1"/>
        <c:majorTickMark val="out"/>
        <c:minorTickMark val="none"/>
        <c:tickLblPos val="nextTo"/>
        <c:crossAx val="448486808"/>
        <c:crosses val="autoZero"/>
        <c:crossBetween val="between"/>
      </c:valAx>
    </c:plotArea>
    <c:legend>
      <c:legendPos val="r"/>
      <c:overlay val="0"/>
    </c:legend>
    <c:plotVisOnly val="1"/>
    <c:dispBlanksAs val="gap"/>
    <c:showDLblsOverMax val="0"/>
  </c:chart>
  <c:printSettings>
    <c:headerFooter/>
    <c:pageMargins b="0.75000000000001021" l="0.70000000000000062" r="0.70000000000000062" t="0.75000000000001021" header="0.30000000000000032" footer="0.30000000000000032"/>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0</xdr:col>
      <xdr:colOff>0</xdr:colOff>
      <xdr:row>8</xdr:row>
      <xdr:rowOff>91027</xdr:rowOff>
    </xdr:from>
    <xdr:ext cx="9544050" cy="1090073"/>
    <xdr:sp macro="" textlink="">
      <xdr:nvSpPr>
        <xdr:cNvPr id="2" name="Rectangle 1"/>
        <xdr:cNvSpPr/>
      </xdr:nvSpPr>
      <xdr:spPr>
        <a:xfrm>
          <a:off x="0" y="1386427"/>
          <a:ext cx="9544050" cy="1090073"/>
        </a:xfrm>
        <a:prstGeom prst="rect">
          <a:avLst/>
        </a:prstGeom>
        <a:noFill/>
      </xdr:spPr>
      <xdr:txBody>
        <a:bodyPr wrap="square" lIns="91440" tIns="45720" rIns="91440" bIns="45720">
          <a:noAutofit/>
        </a:bodyPr>
        <a:lstStyle/>
        <a:p>
          <a:pPr algn="ctr"/>
          <a:r>
            <a:rPr lang="en-US" sz="6000" b="1" cap="none" spc="0">
              <a:ln w="18000">
                <a:solidFill>
                  <a:schemeClr val="tx1"/>
                </a:solidFill>
                <a:prstDash val="solid"/>
                <a:miter lim="800000"/>
              </a:ln>
              <a:solidFill>
                <a:schemeClr val="tx1"/>
              </a:solidFill>
              <a:effectLst>
                <a:outerShdw blurRad="25500" dist="23000" dir="7020000" algn="tl">
                  <a:srgbClr val="000000">
                    <a:alpha val="50000"/>
                  </a:srgbClr>
                </a:outerShdw>
              </a:effectLst>
            </a:rPr>
            <a:t>2015 Nebraska Crop Budgets</a:t>
          </a:r>
        </a:p>
      </xdr:txBody>
    </xdr:sp>
    <xdr:clientData/>
  </xdr:oneCellAnchor>
  <xdr:oneCellAnchor>
    <xdr:from>
      <xdr:col>0</xdr:col>
      <xdr:colOff>9526</xdr:colOff>
      <xdr:row>18</xdr:row>
      <xdr:rowOff>0</xdr:rowOff>
    </xdr:from>
    <xdr:ext cx="9391650" cy="771525"/>
    <xdr:sp macro="" textlink="">
      <xdr:nvSpPr>
        <xdr:cNvPr id="3" name="Rectangle 2"/>
        <xdr:cNvSpPr/>
      </xdr:nvSpPr>
      <xdr:spPr>
        <a:xfrm>
          <a:off x="9526" y="2914650"/>
          <a:ext cx="9391650" cy="771525"/>
        </a:xfrm>
        <a:prstGeom prst="rect">
          <a:avLst/>
        </a:prstGeom>
        <a:noFill/>
      </xdr:spPr>
      <xdr:txBody>
        <a:bodyPr wrap="square" lIns="91440" tIns="45720" rIns="91440" bIns="45720">
          <a:noAutofit/>
        </a:bodyPr>
        <a:lstStyle/>
        <a:p>
          <a:pPr algn="ctr"/>
          <a:r>
            <a:rPr lang="en-US" sz="2000" b="1" cap="none" spc="0">
              <a:ln w="10541" cmpd="sng">
                <a:solidFill>
                  <a:schemeClr val="accent1">
                    <a:shade val="88000"/>
                    <a:satMod val="110000"/>
                  </a:schemeClr>
                </a:solidFill>
                <a:prstDash val="solid"/>
              </a:ln>
              <a:solidFill>
                <a:schemeClr val="tx1"/>
              </a:solidFill>
              <a:effectLst/>
            </a:rPr>
            <a:t>Robert Klein, Western Nebraska Crop Specialist</a:t>
          </a:r>
        </a:p>
        <a:p>
          <a:pPr algn="ctr"/>
          <a:r>
            <a:rPr lang="en-US" sz="2000" b="1" cap="none" spc="0">
              <a:ln w="10541" cmpd="sng">
                <a:solidFill>
                  <a:schemeClr val="accent1">
                    <a:shade val="88000"/>
                    <a:satMod val="110000"/>
                  </a:schemeClr>
                </a:solidFill>
                <a:prstDash val="solid"/>
              </a:ln>
              <a:solidFill>
                <a:schemeClr val="tx1"/>
              </a:solidFill>
              <a:effectLst/>
            </a:rPr>
            <a:t>Roger Wilson, Farm Management / Enterprise Budget Analyst</a:t>
          </a:r>
        </a:p>
        <a:p>
          <a:pPr algn="ctr"/>
          <a:r>
            <a:rPr lang="en-US" sz="2000" b="1" cap="none" spc="0">
              <a:ln w="10541" cmpd="sng">
                <a:solidFill>
                  <a:schemeClr val="accent1">
                    <a:shade val="88000"/>
                    <a:satMod val="110000"/>
                  </a:schemeClr>
                </a:solidFill>
                <a:prstDash val="solid"/>
              </a:ln>
              <a:solidFill>
                <a:schemeClr val="tx1"/>
              </a:solidFill>
              <a:effectLst/>
            </a:rPr>
            <a:t>Jessica Johnson, Extension</a:t>
          </a:r>
          <a:r>
            <a:rPr lang="en-US" sz="2000" b="1" cap="none" spc="0" baseline="0">
              <a:ln w="10541" cmpd="sng">
                <a:solidFill>
                  <a:schemeClr val="accent1">
                    <a:shade val="88000"/>
                    <a:satMod val="110000"/>
                  </a:schemeClr>
                </a:solidFill>
                <a:prstDash val="solid"/>
              </a:ln>
              <a:solidFill>
                <a:schemeClr val="tx1"/>
              </a:solidFill>
              <a:effectLst/>
            </a:rPr>
            <a:t> Educator - Ag Economics</a:t>
          </a:r>
          <a:endParaRPr lang="en-US" sz="2000" b="1" cap="none" spc="0">
            <a:ln w="10541" cmpd="sng">
              <a:solidFill>
                <a:schemeClr val="accent1">
                  <a:shade val="88000"/>
                  <a:satMod val="110000"/>
                </a:schemeClr>
              </a:solidFill>
              <a:prstDash val="solid"/>
            </a:ln>
            <a:solidFill>
              <a:schemeClr val="tx1"/>
            </a:solidFill>
            <a:effectLst/>
          </a:endParaRPr>
        </a:p>
        <a:p>
          <a:pPr algn="ctr"/>
          <a:endParaRPr lang="en-US" sz="2800" b="1" cap="none" spc="0">
            <a:ln w="10541" cmpd="sng">
              <a:solidFill>
                <a:schemeClr val="accent1">
                  <a:shade val="88000"/>
                  <a:satMod val="110000"/>
                </a:schemeClr>
              </a:solidFill>
              <a:prstDash val="solid"/>
            </a:ln>
            <a:solidFill>
              <a:schemeClr val="tx1"/>
            </a:solidFill>
            <a:effectLst/>
          </a:endParaRPr>
        </a:p>
      </xdr:txBody>
    </xdr:sp>
    <xdr:clientData/>
  </xdr:oneCellAnchor>
  <xdr:twoCellAnchor>
    <xdr:from>
      <xdr:col>1</xdr:col>
      <xdr:colOff>495300</xdr:colOff>
      <xdr:row>25</xdr:row>
      <xdr:rowOff>19051</xdr:rowOff>
    </xdr:from>
    <xdr:to>
      <xdr:col>14</xdr:col>
      <xdr:colOff>352425</xdr:colOff>
      <xdr:row>34</xdr:row>
      <xdr:rowOff>133350</xdr:rowOff>
    </xdr:to>
    <xdr:sp macro="" textlink="">
      <xdr:nvSpPr>
        <xdr:cNvPr id="4" name="Rounded Rectangle 3"/>
        <xdr:cNvSpPr/>
      </xdr:nvSpPr>
      <xdr:spPr>
        <a:xfrm>
          <a:off x="1104900" y="4067176"/>
          <a:ext cx="7781925" cy="1571624"/>
        </a:xfrm>
        <a:prstGeom prst="round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l"/>
          <a:r>
            <a:rPr lang="en-US" sz="1800" b="1" u="sng">
              <a:solidFill>
                <a:srgbClr val="FF0000"/>
              </a:solidFill>
            </a:rPr>
            <a:t>WARNING:</a:t>
          </a:r>
          <a:r>
            <a:rPr lang="en-US" sz="1100" b="0" i="0" u="none" strike="noStrike">
              <a:solidFill>
                <a:schemeClr val="lt1"/>
              </a:solidFill>
              <a:latin typeface="+mn-lt"/>
              <a:ea typeface="+mn-ea"/>
              <a:cs typeface="+mn-cs"/>
            </a:rPr>
            <a:t> </a:t>
          </a:r>
          <a:r>
            <a:rPr lang="en-US" sz="1200" b="1">
              <a:solidFill>
                <a:srgbClr val="FF0000"/>
              </a:solidFill>
            </a:rPr>
            <a:t>These budget</a:t>
          </a:r>
          <a:r>
            <a:rPr lang="en-US" sz="1200" b="1" baseline="0">
              <a:solidFill>
                <a:srgbClr val="FF0000"/>
              </a:solidFill>
            </a:rPr>
            <a:t> projections</a:t>
          </a:r>
          <a:r>
            <a:rPr lang="en-US" sz="1200" b="1">
              <a:solidFill>
                <a:srgbClr val="FF0000"/>
              </a:solidFill>
            </a:rPr>
            <a:t> were created using assumptions thought to be valid for many producers in Nebraska</a:t>
          </a:r>
          <a:r>
            <a:rPr lang="en-US" sz="1200" b="1" baseline="0">
              <a:solidFill>
                <a:srgbClr val="FF0000"/>
              </a:solidFill>
            </a:rPr>
            <a:t>. However, each individual farming operation is unique so no  budget applies to more than one. These budgets are being released in worksheet format so producers can modify them to match their specific situation. The danger of releasing a tool that can subsequently be modified is that there is no way to verify that no alterations have been made or unrealistic data entered. Therefore, users of this tool are responsible for independently verifying all results prior to relying on them.</a:t>
          </a:r>
          <a:endParaRPr lang="en-US" sz="1200" b="1">
            <a:solidFill>
              <a:srgbClr val="FF0000"/>
            </a:solidFill>
          </a:endParaRPr>
        </a:p>
      </xdr:txBody>
    </xdr:sp>
    <xdr:clientData/>
  </xdr:twoCellAnchor>
  <xdr:twoCellAnchor editAs="oneCell">
    <xdr:from>
      <xdr:col>7</xdr:col>
      <xdr:colOff>314325</xdr:colOff>
      <xdr:row>1</xdr:row>
      <xdr:rowOff>85725</xdr:rowOff>
    </xdr:from>
    <xdr:to>
      <xdr:col>14</xdr:col>
      <xdr:colOff>276225</xdr:colOff>
      <xdr:row>6</xdr:row>
      <xdr:rowOff>99256</xdr:rowOff>
    </xdr:to>
    <xdr:pic>
      <xdr:nvPicPr>
        <xdr:cNvPr id="5" name="Picture 4" descr="ExtBanner.png"/>
        <xdr:cNvPicPr>
          <a:picLocks noChangeAspect="1"/>
        </xdr:cNvPicPr>
      </xdr:nvPicPr>
      <xdr:blipFill>
        <a:blip xmlns:r="http://schemas.openxmlformats.org/officeDocument/2006/relationships" r:embed="rId1" cstate="print"/>
        <a:stretch>
          <a:fillRect/>
        </a:stretch>
      </xdr:blipFill>
      <xdr:spPr>
        <a:xfrm>
          <a:off x="4581525" y="247650"/>
          <a:ext cx="4229100" cy="823156"/>
        </a:xfrm>
        <a:prstGeom prst="rect">
          <a:avLst/>
        </a:prstGeom>
      </xdr:spPr>
    </xdr:pic>
    <xdr:clientData/>
  </xdr:twoCellAnchor>
  <xdr:twoCellAnchor>
    <xdr:from>
      <xdr:col>2</xdr:col>
      <xdr:colOff>552450</xdr:colOff>
      <xdr:row>47</xdr:row>
      <xdr:rowOff>76199</xdr:rowOff>
    </xdr:from>
    <xdr:to>
      <xdr:col>14</xdr:col>
      <xdr:colOff>219075</xdr:colOff>
      <xdr:row>58</xdr:row>
      <xdr:rowOff>123825</xdr:rowOff>
    </xdr:to>
    <xdr:sp macro="" textlink="">
      <xdr:nvSpPr>
        <xdr:cNvPr id="6" name="TextBox 5"/>
        <xdr:cNvSpPr txBox="1"/>
      </xdr:nvSpPr>
      <xdr:spPr>
        <a:xfrm>
          <a:off x="1771650" y="7686674"/>
          <a:ext cx="6981825" cy="18288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Extension is a Division of the Institute of Agriculture</a:t>
          </a:r>
          <a:r>
            <a:rPr lang="en-US" sz="1100" baseline="0"/>
            <a:t> and Natural Resources at the University of Nebraska –Lincoln cooperating with the Counties and the United States Department of Agriculture. University of Nebraska – Lincoln Extension programs abide with the nondiscrimination policies of the University of Nebraska –Lincoln and the United States Department of Agriculture.</a:t>
          </a:r>
        </a:p>
        <a:p>
          <a:endParaRPr lang="en-US" sz="1100" baseline="0"/>
        </a:p>
        <a:p>
          <a:r>
            <a:rPr lang="en-US" sz="1100" baseline="0"/>
            <a:t>University of Nebraska-Lincoln Extension educational programs abide with the nondiscrimination policies of the University of Nebraska - Lincoln and the United States Department of Agriculture.</a:t>
          </a:r>
        </a:p>
        <a:p>
          <a:endParaRPr lang="en-US" sz="1100" baseline="0">
            <a:latin typeface="+mj-lt"/>
          </a:endParaRPr>
        </a:p>
        <a:p>
          <a:r>
            <a:rPr lang="en-US" sz="1100">
              <a:latin typeface="+mn-lt"/>
              <a:cs typeface="Arial"/>
            </a:rPr>
            <a:t>© 2014 The Board of Regents of the University</a:t>
          </a:r>
          <a:r>
            <a:rPr lang="en-US" sz="1100" baseline="0">
              <a:latin typeface="+mn-lt"/>
              <a:cs typeface="Arial"/>
            </a:rPr>
            <a:t> of Nebraska on behalf of the University of Nebraska – Lincoln Extension. All rights reserved.</a:t>
          </a:r>
          <a:endParaRPr lang="en-US" sz="1100">
            <a:latin typeface="+mn-lt"/>
          </a:endParaRPr>
        </a:p>
      </xdr:txBody>
    </xdr:sp>
    <xdr:clientData/>
  </xdr:twoCellAnchor>
  <xdr:twoCellAnchor editAs="oneCell">
    <xdr:from>
      <xdr:col>0</xdr:col>
      <xdr:colOff>600076</xdr:colOff>
      <xdr:row>52</xdr:row>
      <xdr:rowOff>51217</xdr:rowOff>
    </xdr:from>
    <xdr:to>
      <xdr:col>2</xdr:col>
      <xdr:colOff>190500</xdr:colOff>
      <xdr:row>58</xdr:row>
      <xdr:rowOff>53559</xdr:rowOff>
    </xdr:to>
    <xdr:pic>
      <xdr:nvPicPr>
        <xdr:cNvPr id="7" name="Picture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00076" y="8471317"/>
          <a:ext cx="809624" cy="97389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600075</xdr:colOff>
      <xdr:row>13</xdr:row>
      <xdr:rowOff>114301</xdr:rowOff>
    </xdr:from>
    <xdr:to>
      <xdr:col>6</xdr:col>
      <xdr:colOff>381000</xdr:colOff>
      <xdr:row>21</xdr:row>
      <xdr:rowOff>9525</xdr:rowOff>
    </xdr:to>
    <xdr:sp macro="" textlink="">
      <xdr:nvSpPr>
        <xdr:cNvPr id="2" name="TextBox 1"/>
        <xdr:cNvSpPr txBox="1"/>
      </xdr:nvSpPr>
      <xdr:spPr>
        <a:xfrm>
          <a:off x="3438525" y="2552701"/>
          <a:ext cx="2190750" cy="1190624"/>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200" b="1">
              <a:solidFill>
                <a:srgbClr val="FF0000"/>
              </a:solidFill>
            </a:rPr>
            <a:t>Real Estate Values were obtained from the "Nebraska Farm Real Estate Highlights 2012-2013" publication (June 2013) which is available at http://agecon.unl.edu/realestate.html</a:t>
          </a:r>
        </a:p>
      </xdr:txBody>
    </xdr:sp>
    <xdr:clientData/>
  </xdr:twoCellAnchor>
  <xdr:twoCellAnchor>
    <xdr:from>
      <xdr:col>0</xdr:col>
      <xdr:colOff>9525</xdr:colOff>
      <xdr:row>33</xdr:row>
      <xdr:rowOff>142876</xdr:rowOff>
    </xdr:from>
    <xdr:to>
      <xdr:col>8</xdr:col>
      <xdr:colOff>123825</xdr:colOff>
      <xdr:row>38</xdr:row>
      <xdr:rowOff>47626</xdr:rowOff>
    </xdr:to>
    <xdr:sp macro="" textlink="">
      <xdr:nvSpPr>
        <xdr:cNvPr id="3" name="TextBox 2"/>
        <xdr:cNvSpPr txBox="1"/>
      </xdr:nvSpPr>
      <xdr:spPr>
        <a:xfrm>
          <a:off x="9525" y="5819776"/>
          <a:ext cx="7000875" cy="72390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solidFill>
                <a:srgbClr val="FF0000"/>
              </a:solidFill>
              <a:latin typeface="+mn-lt"/>
              <a:ea typeface="+mn-ea"/>
              <a:cs typeface="+mn-cs"/>
            </a:rPr>
            <a:t>Crop Insurance Values were obtained from the "Cost Estimator" application located at http://ewebapp.rma.usda.gov/apps/costestimator/. The list below shows the budget and county used to estimate crop insurance.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533400</xdr:colOff>
      <xdr:row>0</xdr:row>
      <xdr:rowOff>104775</xdr:rowOff>
    </xdr:from>
    <xdr:to>
      <xdr:col>11</xdr:col>
      <xdr:colOff>200025</xdr:colOff>
      <xdr:row>27</xdr:row>
      <xdr:rowOff>76200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ec872-budget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sheetName val="General Variables"/>
      <sheetName val="Power Units"/>
      <sheetName val="Operations"/>
      <sheetName val="Price Check"/>
      <sheetName val="Materials"/>
      <sheetName val="1-Alfalfa"/>
      <sheetName val="Formulas"/>
      <sheetName val="Depreciation Graph"/>
      <sheetName val="ec872-budget1"/>
    </sheetNames>
    <sheetDataSet>
      <sheetData sheetId="0"/>
      <sheetData sheetId="1">
        <row r="18">
          <cell r="A18" t="str">
            <v>Corn Dryland</v>
          </cell>
          <cell r="B18">
            <v>23</v>
          </cell>
        </row>
        <row r="19">
          <cell r="A19" t="str">
            <v>Corn Dryland Ecofallow</v>
          </cell>
          <cell r="B19">
            <v>20</v>
          </cell>
        </row>
        <row r="20">
          <cell r="A20" t="str">
            <v>Corn Irrigated</v>
          </cell>
          <cell r="B20">
            <v>10</v>
          </cell>
        </row>
        <row r="21">
          <cell r="A21" t="str">
            <v>Drybeans</v>
          </cell>
          <cell r="B21">
            <v>21</v>
          </cell>
        </row>
        <row r="22">
          <cell r="A22" t="str">
            <v>Grain Sorghum Dryland</v>
          </cell>
          <cell r="B22">
            <v>11</v>
          </cell>
        </row>
        <row r="23">
          <cell r="A23" t="str">
            <v>Grain Sorghum Irrigated</v>
          </cell>
          <cell r="B23">
            <v>10</v>
          </cell>
        </row>
        <row r="24">
          <cell r="A24" t="str">
            <v>Millet</v>
          </cell>
          <cell r="B24">
            <v>15</v>
          </cell>
        </row>
        <row r="25">
          <cell r="A25" t="str">
            <v>Oats</v>
          </cell>
          <cell r="B25">
            <v>11</v>
          </cell>
        </row>
        <row r="26">
          <cell r="A26" t="str">
            <v>Soybeans Dryland</v>
          </cell>
          <cell r="B26">
            <v>16</v>
          </cell>
        </row>
        <row r="27">
          <cell r="A27" t="str">
            <v>Soybeans Irrigated</v>
          </cell>
          <cell r="B27">
            <v>8.5</v>
          </cell>
        </row>
        <row r="28">
          <cell r="A28" t="str">
            <v>Sugar Beets</v>
          </cell>
          <cell r="B28">
            <v>20</v>
          </cell>
        </row>
        <row r="29">
          <cell r="A29" t="str">
            <v>Sunflower Dryland</v>
          </cell>
          <cell r="B29">
            <v>14</v>
          </cell>
        </row>
        <row r="30">
          <cell r="A30" t="str">
            <v>Sunflower Irrigated</v>
          </cell>
          <cell r="B30">
            <v>19</v>
          </cell>
        </row>
        <row r="31">
          <cell r="A31" t="str">
            <v>Wheat After Crop</v>
          </cell>
          <cell r="B31">
            <v>14.5</v>
          </cell>
        </row>
        <row r="32">
          <cell r="A32" t="str">
            <v>Wheat Fallowed</v>
          </cell>
          <cell r="B32">
            <v>9.5</v>
          </cell>
        </row>
        <row r="33">
          <cell r="A33" t="str">
            <v>Wheat Irrigated</v>
          </cell>
          <cell r="B33">
            <v>13.25</v>
          </cell>
        </row>
      </sheetData>
      <sheetData sheetId="2"/>
      <sheetData sheetId="3">
        <row r="2">
          <cell r="AE2" t="str">
            <v xml:space="preserve">Combines </v>
          </cell>
          <cell r="AF2" t="str">
            <v xml:space="preserve"> 1.132 </v>
          </cell>
          <cell r="AG2" t="str">
            <v xml:space="preserve"> 0.165 </v>
          </cell>
          <cell r="AH2">
            <v>0</v>
          </cell>
        </row>
        <row r="3">
          <cell r="AE3" t="str">
            <v xml:space="preserve">Mowers </v>
          </cell>
          <cell r="AF3" t="str">
            <v xml:space="preserve"> 0.756 </v>
          </cell>
          <cell r="AG3" t="str">
            <v xml:space="preserve"> 0.067 </v>
          </cell>
        </row>
        <row r="4">
          <cell r="AE4" t="str">
            <v xml:space="preserve">Balers </v>
          </cell>
          <cell r="AF4" t="str">
            <v xml:space="preserve"> 0.852 </v>
          </cell>
          <cell r="AG4" t="str">
            <v xml:space="preserve"> 0.101 </v>
          </cell>
        </row>
        <row r="5">
          <cell r="AE5" t="str">
            <v xml:space="preserve">Swathers and all other harvest equipment </v>
          </cell>
          <cell r="AF5" t="str">
            <v xml:space="preserve"> 0.791 </v>
          </cell>
          <cell r="AG5" t="str">
            <v xml:space="preserve"> 0.091 </v>
          </cell>
        </row>
        <row r="6">
          <cell r="AE6" t="str">
            <v xml:space="preserve">Plows </v>
          </cell>
          <cell r="AF6" t="str">
            <v xml:space="preserve"> 0.738 </v>
          </cell>
          <cell r="AG6" t="str">
            <v xml:space="preserve"> 0.051 </v>
          </cell>
        </row>
        <row r="7">
          <cell r="AE7" t="str">
            <v xml:space="preserve">Disks and all other tillage equipment </v>
          </cell>
          <cell r="AF7" t="str">
            <v xml:space="preserve"> 0.891 </v>
          </cell>
          <cell r="AG7" t="str">
            <v xml:space="preserve"> 0.110 </v>
          </cell>
        </row>
        <row r="8">
          <cell r="AE8" t="str">
            <v xml:space="preserve">Skid-steerloaders and all other vechicles </v>
          </cell>
          <cell r="AF8" t="str">
            <v xml:space="preserve"> 0.786 </v>
          </cell>
          <cell r="AG8" t="str">
            <v xml:space="preserve"> 0.063 </v>
          </cell>
          <cell r="AH8">
            <v>0</v>
          </cell>
        </row>
        <row r="9">
          <cell r="AE9" t="str">
            <v xml:space="preserve">Planters </v>
          </cell>
          <cell r="AF9" t="str">
            <v xml:space="preserve"> 0.883 </v>
          </cell>
          <cell r="AG9" t="str">
            <v xml:space="preserve"> 0.078 </v>
          </cell>
        </row>
        <row r="10">
          <cell r="AE10" t="str">
            <v xml:space="preserve">Manure spreaders and all other miscellaneous equipment </v>
          </cell>
          <cell r="AF10" t="str">
            <v xml:space="preserve"> 0.943 </v>
          </cell>
          <cell r="AG10" t="str">
            <v xml:space="preserve"> 0.111 </v>
          </cell>
        </row>
        <row r="11">
          <cell r="AE11" t="str">
            <v>Pivots</v>
          </cell>
          <cell r="AF11" t="str">
            <v xml:space="preserve"> 0.891 </v>
          </cell>
          <cell r="AG11" t="str">
            <v xml:space="preserve"> 0.110 </v>
          </cell>
        </row>
      </sheetData>
      <sheetData sheetId="4"/>
      <sheetData sheetId="5"/>
      <sheetData sheetId="6"/>
      <sheetData sheetId="7"/>
      <sheetData sheetId="8"/>
      <sheetData sheetId="9" refreshError="1"/>
    </sheetDataSet>
  </externalBook>
</externalLink>
</file>

<file path=xl/tables/table1.xml><?xml version="1.0" encoding="utf-8"?>
<table xmlns="http://schemas.openxmlformats.org/spreadsheetml/2006/main" id="9" name="Table9" displayName="Table9" ref="E4:F13" totalsRowShown="0" headerRowDxfId="92" dataDxfId="91">
  <autoFilter ref="E4:F13"/>
  <tableColumns count="2">
    <tableColumn id="1" name="Description" dataDxfId="90"/>
    <tableColumn id="2" name="Value" dataDxfId="89" dataCellStyle="Comma"/>
  </tableColumns>
  <tableStyleInfo name="TableStyleMedium2" showFirstColumn="0" showLastColumn="0" showRowStripes="1" showColumnStripes="0"/>
</table>
</file>

<file path=xl/tables/table2.xml><?xml version="1.0" encoding="utf-8"?>
<table xmlns="http://schemas.openxmlformats.org/spreadsheetml/2006/main" id="6" name="Table1" displayName="Table1" ref="X1:AB7" totalsRowShown="0" headerRowDxfId="88" dataDxfId="87">
  <autoFilter ref="X1:AB7"/>
  <tableColumns count="5">
    <tableColumn id="1" name=" Equipment type " dataDxfId="86"/>
    <tableColumn id="2" name="Machine" dataDxfId="85"/>
    <tableColumn id="3" name=" C1 " dataDxfId="84"/>
    <tableColumn id="4" name=" C2 " dataDxfId="83"/>
    <tableColumn id="5" name=" C3 " dataDxfId="82"/>
  </tableColumns>
  <tableStyleInfo name="TableStyleMedium3" showFirstColumn="0" showLastColumn="0" showRowStripes="1" showColumnStripes="0"/>
</table>
</file>

<file path=xl/tables/table3.xml><?xml version="1.0" encoding="utf-8"?>
<table xmlns="http://schemas.openxmlformats.org/spreadsheetml/2006/main" id="8" name="PwrRepairs" displayName="PwrRepairs" ref="R1:V8" totalsRowShown="0" headerRowDxfId="81" dataDxfId="79" headerRowBorderDxfId="80" tableBorderDxfId="78">
  <autoFilter ref="R1:V8"/>
  <tableColumns count="5">
    <tableColumn id="1" name="Machine" dataDxfId="77"/>
    <tableColumn id="2" name="Catogory" dataDxfId="76"/>
    <tableColumn id="3" name="RF1" dataDxfId="75"/>
    <tableColumn id="4" name="RF2" dataDxfId="74"/>
    <tableColumn id="5" name="Estimated Life" dataDxfId="73" dataCellStyle="Currency"/>
  </tableColumns>
  <tableStyleInfo name="TableStyleMedium3" showFirstColumn="0" showLastColumn="0" showRowStripes="1" showColumnStripes="0"/>
</table>
</file>

<file path=xl/tables/table4.xml><?xml version="1.0" encoding="utf-8"?>
<table xmlns="http://schemas.openxmlformats.org/spreadsheetml/2006/main" id="7" name="PowerUnits" displayName="PowerUnits" ref="A1:P12" totalsRowShown="0" headerRowDxfId="72" dataDxfId="71">
  <autoFilter ref="A1:P12"/>
  <tableColumns count="16">
    <tableColumn id="1" name="Name" dataDxfId="70"/>
    <tableColumn id="2" name="Repair Category" dataDxfId="69"/>
    <tableColumn id="3" name="Depreciation Category" dataDxfId="68"/>
    <tableColumn id="4" name="List Price" dataDxfId="67" dataCellStyle="Comma"/>
    <tableColumn id="12" name="Beg Yr Value" dataDxfId="66" dataCellStyle="Comma"/>
    <tableColumn id="5" name="Age" dataDxfId="65"/>
    <tableColumn id="6" name="Tach Hours" dataDxfId="64"/>
    <tableColumn id="7" name="Est. Hours per Year" dataDxfId="63"/>
    <tableColumn id="14" name="Calculated List Price" dataDxfId="62" dataCellStyle="Comma">
      <calculatedColumnFormula>IF(PowerUnits[[#This Row],[List Price]]&gt;1,PowerUnits[[#This Row],[List Price]],IF(C2="",0,PowerUnits[[#This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calculatedColumnFormula>
    </tableColumn>
    <tableColumn id="11" name="Repairs per Hour" dataDxfId="61" dataCellStyle="Comma">
      <calculatedColumnFormula>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calculatedColumnFormula>
    </tableColumn>
    <tableColumn id="8" name="Calculated Beg Yr. Value" dataDxfId="60" dataCellStyle="Comma">
      <calculatedColumnFormula>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calculatedColumnFormula>
    </tableColumn>
    <tableColumn id="9" name="Calculated End Yr. Value" dataDxfId="59" dataCellStyle="Comma">
      <calculatedColumnFormula>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calculatedColumnFormula>
    </tableColumn>
    <tableColumn id="10" name="Depreciation per Hour" dataDxfId="58">
      <calculatedColumnFormula>IF(PowerUnits[[#This Row],[Est. Hours per Year]]=0,0,(PowerUnits[[#This Row],[Calculated Beg Yr. Value]]-PowerUnits[[#This Row],[Calculated End Yr. Value]])/PowerUnits[[#This Row],[Est. Hours per Year]])</calculatedColumnFormula>
    </tableColumn>
    <tableColumn id="15" name="TIH per Hour" dataDxfId="57">
      <calculatedColumnFormula>IF(PowerUnits[[#This Row],[Est. Hours per Year]]=0,0,PowerUnits[[#This Row],[Calculated Beg Yr. Value]]*'General Variables'!$B$9/PowerUnits[[#This Row],[Est. Hours per Year]])</calculatedColumnFormula>
    </tableColumn>
    <tableColumn id="16" name="Opportunity Cost per Hour" dataDxfId="56">
      <calculatedColumnFormula>IF(PowerUnits[[#This Row],[Est. Hours per Year]]=0,0,PowerUnits[[#This Row],[Calculated Beg Yr. Value]]*'General Variables'!$B$10/PowerUnits[[#This Row],[Est. Hours per Year]])</calculatedColumnFormula>
    </tableColumn>
    <tableColumn id="17" name="Ownership Cost per Hour" dataDxfId="55">
      <calculatedColumnFormula>SUM(PowerUnits[[#This Row],[Depreciation per Hour]:[Opportunity Cost per Hour]])</calculatedColumnFormula>
    </tableColumn>
  </tableColumns>
  <tableStyleInfo name="TableStyleMedium2" showFirstColumn="0" showLastColumn="0" showRowStripes="1" showColumnStripes="0"/>
</table>
</file>

<file path=xl/tables/table5.xml><?xml version="1.0" encoding="utf-8"?>
<table xmlns="http://schemas.openxmlformats.org/spreadsheetml/2006/main" id="3" name="ImpRepairFac" displayName="ImpRepairFac" ref="W1:AA48" totalsRowShown="0" headerRowDxfId="54" dataDxfId="53">
  <autoFilter ref="W1:AA48"/>
  <sortState ref="W2:AA53">
    <sortCondition ref="W2:W54"/>
  </sortState>
  <tableColumns count="5">
    <tableColumn id="2" name="Machine" dataDxfId="52"/>
    <tableColumn id="1" name="Catogory" dataDxfId="51"/>
    <tableColumn id="3" name="RF1" dataDxfId="50"/>
    <tableColumn id="4" name="RF2" dataDxfId="49"/>
    <tableColumn id="5" name="Estimated Life" dataDxfId="48" dataCellStyle="Currency"/>
  </tableColumns>
  <tableStyleInfo name="TableStyleMedium3" showFirstColumn="0" showLastColumn="0" showRowStripes="1" showColumnStripes="0"/>
</table>
</file>

<file path=xl/tables/table6.xml><?xml version="1.0" encoding="utf-8"?>
<table xmlns="http://schemas.openxmlformats.org/spreadsheetml/2006/main" id="4" name="ImpDepreciation" displayName="ImpDepreciation" ref="AD1:AH11" totalsRowShown="0" headerRowDxfId="47" dataDxfId="46">
  <autoFilter ref="AD1:AH11"/>
  <tableColumns count="5">
    <tableColumn id="1" name=" Equipment type " dataDxfId="45"/>
    <tableColumn id="2" name="Machine" dataDxfId="44"/>
    <tableColumn id="3" name=" C1 " dataDxfId="43"/>
    <tableColumn id="4" name=" C2 " dataDxfId="42"/>
    <tableColumn id="5" name=" C3 " dataDxfId="41"/>
  </tableColumns>
  <tableStyleInfo name="TableStyleMedium3" showFirstColumn="0" showLastColumn="0" showRowStripes="1" showColumnStripes="0"/>
</table>
</file>

<file path=xl/tables/table7.xml><?xml version="1.0" encoding="utf-8"?>
<table xmlns="http://schemas.openxmlformats.org/spreadsheetml/2006/main" id="5" name="IrrigationSystems" displayName="IrrigationSystems" ref="AK3:AM15" totalsRowShown="0" headerRowDxfId="40" dataDxfId="39">
  <autoFilter ref="AK3:AM15"/>
  <tableColumns count="3">
    <tableColumn id="1" name="System Type" dataDxfId="38"/>
    <tableColumn id="2" name="Life-yrs" dataDxfId="37"/>
    <tableColumn id="3" name="Maintenance, % of capital cost" dataDxfId="36"/>
  </tableColumns>
  <tableStyleInfo name="TableStyleMedium3" showFirstColumn="0" showLastColumn="0" showRowStripes="1" showColumnStripes="0"/>
</table>
</file>

<file path=xl/tables/table8.xml><?xml version="1.0" encoding="utf-8"?>
<table xmlns="http://schemas.openxmlformats.org/spreadsheetml/2006/main" id="2" name="Operations" displayName="Operations" ref="A1:U101" totalsRowShown="0" headerRowDxfId="35" dataDxfId="33" headerRowBorderDxfId="34" tableBorderDxfId="32">
  <autoFilter ref="A1:U101"/>
  <sortState ref="A2:U101">
    <sortCondition ref="A1:A101"/>
  </sortState>
  <tableColumns count="21">
    <tableColumn id="1" name="Op Name" dataDxfId="31"/>
    <tableColumn id="2" name="Unit" dataDxfId="30"/>
    <tableColumn id="10" name="Repair Category" dataDxfId="29"/>
    <tableColumn id="11" name="Depreciation Category" dataDxfId="28"/>
    <tableColumn id="12" name="List Price" dataDxfId="27"/>
    <tableColumn id="14" name="Begin Yr. Value" dataDxfId="26" dataCellStyle="Comma"/>
    <tableColumn id="13" name="Age" dataDxfId="25"/>
    <tableColumn id="21" name="Annual Use" dataDxfId="24"/>
    <tableColumn id="22" name="Units per Hour" dataDxfId="23"/>
    <tableColumn id="19" name="Labor Factor" dataDxfId="22" dataCellStyle="Comma"/>
    <tableColumn id="20" name="Power Source" dataDxfId="21"/>
    <tableColumn id="24" name="Diesel Use per Hour" dataDxfId="20" dataCellStyle="Comma"/>
    <tableColumn id="5" name="Kw Use per Hour" dataDxfId="19" dataCellStyle="Comma"/>
    <tableColumn id="4" name="Calc List Price" dataDxfId="18" dataCellStyle="Comma">
      <calculatedColumnFormula>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calculatedColumnFormula>
    </tableColumn>
    <tableColumn id="28" name="Repairs per Unit" dataDxfId="17" dataCellStyle="Comma">
      <calculatedColumnFormula>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calculatedColumnFormula>
    </tableColumn>
    <tableColumn id="25" name="Calc Beg Yr. Value" dataDxfId="16" dataCellStyle="Comma">
      <calculatedColumnFormula>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calculatedColumnFormula>
    </tableColumn>
    <tableColumn id="26" name="Calc End Yr. Value" dataDxfId="15" dataCellStyle="Comma">
      <calculatedColumnFormula>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calculatedColumnFormula>
    </tableColumn>
    <tableColumn id="27" name="Depreciation per Unit" dataDxfId="14" dataCellStyle="Comma">
      <calculatedColumnFormula>IF(Operations[[#This Row],[Calc List Price]]=0,0,IF(Operations[[#This Row],[Units per Hour]]*Operations[[#This Row],[Annual Use]]=0,0,(Operations[[#This Row],[Calc Beg Yr. Value]]-Operations[[#This Row],[Calc End Yr. Value]])/(Operations[[#This Row],[Annual Use]])))</calculatedColumnFormula>
    </tableColumn>
    <tableColumn id="3" name="TIH per Unit" dataDxfId="13" dataCellStyle="Comma">
      <calculatedColumnFormula>IF(Operations[[#This Row],[Annual Use]]=0,0,Operations[[#This Row],[Calc Beg Yr. Value]]*'General Variables'!$B$9/Operations[[#This Row],[Annual Use]])</calculatedColumnFormula>
    </tableColumn>
    <tableColumn id="6" name="Opportunity Cost per Unit" dataDxfId="12" dataCellStyle="Comma">
      <calculatedColumnFormula>IF(Operations[[#This Row],[Annual Use]]=0,0,Operations[[#This Row],[Calc Beg Yr. Value]]*'General Variables'!$B$10/Operations[[#This Row],[Annual Use]])</calculatedColumnFormula>
    </tableColumn>
    <tableColumn id="7" name="Ownership Cost per Unit" dataDxfId="11" dataCellStyle="Comma">
      <calculatedColumnFormula>SUM(Operations[[#This Row],[Depreciation per Unit]:[Opportunity Cost per Unit]])</calculatedColumnFormula>
    </tableColumn>
  </tableColumns>
  <tableStyleInfo name="TableStyleMedium2" showFirstColumn="0" showLastColumn="0" showRowStripes="1" showColumnStripes="0"/>
</table>
</file>

<file path=xl/tables/table9.xml><?xml version="1.0" encoding="utf-8"?>
<table xmlns="http://schemas.openxmlformats.org/spreadsheetml/2006/main" id="1" name="Materials" displayName="Materials" ref="B1:H123" totalsRowShown="0" headerRowDxfId="10" dataDxfId="8" headerRowBorderDxfId="9" tableBorderDxfId="7">
  <autoFilter ref="B1:H123"/>
  <sortState ref="B2:H123">
    <sortCondition ref="B1:B123"/>
  </sortState>
  <tableColumns count="7">
    <tableColumn id="1" name="Material" dataDxfId="6"/>
    <tableColumn id="2" name="Category" dataDxfId="5"/>
    <tableColumn id="3" name="Purchase Price" dataDxfId="4"/>
    <tableColumn id="4" name="Purchase Unit" dataDxfId="3"/>
    <tableColumn id="5" name="Applied Unit" dataDxfId="2"/>
    <tableColumn id="6" name="Applied Units / Purchased Units" dataDxfId="1"/>
    <tableColumn id="7" name="Applied Price" dataDxfId="0">
      <calculatedColumnFormula>IF(G2=0,0,D2/G2)</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jschild1@unl.edu" TargetMode="External"/><Relationship Id="rId3" Type="http://schemas.openxmlformats.org/officeDocument/2006/relationships/hyperlink" Target="mailto:lgiesler@unl.edu" TargetMode="External"/><Relationship Id="rId7" Type="http://schemas.openxmlformats.org/officeDocument/2006/relationships/hyperlink" Target="mailto:ghergert1@unl.edu" TargetMode="External"/><Relationship Id="rId2" Type="http://schemas.openxmlformats.org/officeDocument/2006/relationships/hyperlink" Target="mailto:tjackson3@unl.edu" TargetMode="External"/><Relationship Id="rId1" Type="http://schemas.openxmlformats.org/officeDocument/2006/relationships/hyperlink" Target="mailto:rwright@unl.edu" TargetMode="External"/><Relationship Id="rId6" Type="http://schemas.openxmlformats.org/officeDocument/2006/relationships/hyperlink" Target="mailto:rwilson5@unl.edu" TargetMode="External"/><Relationship Id="rId5" Type="http://schemas.openxmlformats.org/officeDocument/2006/relationships/hyperlink" Target="mailto:pjasa1@unl.edu" TargetMode="External"/><Relationship Id="rId10" Type="http://schemas.openxmlformats.org/officeDocument/2006/relationships/drawing" Target="../drawings/drawing1.xml"/><Relationship Id="rId4" Type="http://schemas.openxmlformats.org/officeDocument/2006/relationships/hyperlink" Target="mailto:swegulo2@unl.edu"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1.vml"/><Relationship Id="rId1" Type="http://schemas.openxmlformats.org/officeDocument/2006/relationships/printerSettings" Target="../printerSettings/printerSettings3.bin"/><Relationship Id="rId6" Type="http://schemas.openxmlformats.org/officeDocument/2006/relationships/comments" Target="../comments1.xml"/><Relationship Id="rId5" Type="http://schemas.openxmlformats.org/officeDocument/2006/relationships/table" Target="../tables/table4.xml"/><Relationship Id="rId4" Type="http://schemas.openxmlformats.org/officeDocument/2006/relationships/table" Target="../tables/table3.xml"/></Relationships>
</file>

<file path=xl/worksheets/_rels/sheet4.xml.rels><?xml version="1.0" encoding="UTF-8" standalone="yes"?>
<Relationships xmlns="http://schemas.openxmlformats.org/package/2006/relationships"><Relationship Id="rId3" Type="http://schemas.openxmlformats.org/officeDocument/2006/relationships/table" Target="../tables/table5.xml"/><Relationship Id="rId7"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 Id="rId6" Type="http://schemas.openxmlformats.org/officeDocument/2006/relationships/table" Target="../tables/table8.xml"/><Relationship Id="rId5" Type="http://schemas.openxmlformats.org/officeDocument/2006/relationships/table" Target="../tables/table7.xml"/><Relationship Id="rId4" Type="http://schemas.openxmlformats.org/officeDocument/2006/relationships/table" Target="../tables/table6.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38:L46"/>
  <sheetViews>
    <sheetView workbookViewId="0"/>
  </sheetViews>
  <sheetFormatPr defaultRowHeight="12.75" x14ac:dyDescent="0.2"/>
  <cols>
    <col min="1" max="16384" width="9.140625" style="27"/>
  </cols>
  <sheetData>
    <row r="38" spans="3:12" x14ac:dyDescent="0.2">
      <c r="C38" s="27" t="s">
        <v>481</v>
      </c>
    </row>
    <row r="39" spans="3:12" x14ac:dyDescent="0.2">
      <c r="D39" s="27" t="s">
        <v>482</v>
      </c>
      <c r="F39" s="27" t="s">
        <v>489</v>
      </c>
      <c r="L39" s="192" t="s">
        <v>483</v>
      </c>
    </row>
    <row r="40" spans="3:12" x14ac:dyDescent="0.2">
      <c r="D40" s="27" t="s">
        <v>485</v>
      </c>
      <c r="F40" s="27" t="s">
        <v>600</v>
      </c>
      <c r="L40" s="192" t="s">
        <v>484</v>
      </c>
    </row>
    <row r="41" spans="3:12" x14ac:dyDescent="0.2">
      <c r="D41" s="27" t="s">
        <v>486</v>
      </c>
      <c r="F41" s="27" t="s">
        <v>601</v>
      </c>
      <c r="L41" s="192" t="s">
        <v>487</v>
      </c>
    </row>
    <row r="42" spans="3:12" x14ac:dyDescent="0.2">
      <c r="D42" s="27" t="s">
        <v>602</v>
      </c>
      <c r="F42" s="27" t="s">
        <v>603</v>
      </c>
      <c r="L42" s="192" t="s">
        <v>604</v>
      </c>
    </row>
    <row r="43" spans="3:12" x14ac:dyDescent="0.2">
      <c r="D43" s="27" t="s">
        <v>605</v>
      </c>
      <c r="F43" s="27" t="s">
        <v>606</v>
      </c>
      <c r="L43" s="192" t="s">
        <v>488</v>
      </c>
    </row>
    <row r="44" spans="3:12" x14ac:dyDescent="0.2">
      <c r="D44" s="27" t="s">
        <v>607</v>
      </c>
      <c r="F44" s="27" t="s">
        <v>608</v>
      </c>
      <c r="K44" s="192"/>
      <c r="L44" s="192" t="s">
        <v>609</v>
      </c>
    </row>
    <row r="45" spans="3:12" x14ac:dyDescent="0.2">
      <c r="D45" s="27" t="s">
        <v>610</v>
      </c>
      <c r="F45" s="27" t="s">
        <v>611</v>
      </c>
      <c r="K45" s="192"/>
      <c r="L45" s="192" t="s">
        <v>612</v>
      </c>
    </row>
    <row r="46" spans="3:12" x14ac:dyDescent="0.2">
      <c r="D46" s="27" t="s">
        <v>613</v>
      </c>
      <c r="F46" s="27" t="s">
        <v>614</v>
      </c>
      <c r="K46" s="192"/>
      <c r="L46" s="192" t="s">
        <v>615</v>
      </c>
    </row>
  </sheetData>
  <hyperlinks>
    <hyperlink ref="L39" r:id="rId1"/>
    <hyperlink ref="L40" r:id="rId2"/>
    <hyperlink ref="L41" r:id="rId3"/>
    <hyperlink ref="L43" r:id="rId4"/>
    <hyperlink ref="L42" r:id="rId5"/>
    <hyperlink ref="L44" r:id="rId6"/>
    <hyperlink ref="L45" r:id="rId7"/>
    <hyperlink ref="L46" r:id="rId8"/>
  </hyperlinks>
  <pageMargins left="0.7" right="0.7" top="0.75" bottom="0.75" header="0.3" footer="0.3"/>
  <pageSetup scale="67" orientation="portrait" horizontalDpi="1200" verticalDpi="1200" r:id="rId9"/>
  <drawing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02">
    <pageSetUpPr fitToPage="1"/>
  </sheetPr>
  <dimension ref="A1:N99"/>
  <sheetViews>
    <sheetView workbookViewId="0">
      <selection sqref="A1:I1"/>
    </sheetView>
  </sheetViews>
  <sheetFormatPr defaultRowHeight="12.75" x14ac:dyDescent="0.2"/>
  <cols>
    <col min="1" max="1" width="24" style="27" customWidth="1"/>
    <col min="2" max="2" width="10.42578125" style="27" customWidth="1"/>
    <col min="3" max="3" width="8.140625" style="27" customWidth="1"/>
    <col min="4" max="4" width="9.140625" style="27"/>
    <col min="5" max="5" width="17.5703125" style="27" customWidth="1"/>
    <col min="6" max="6" width="9.42578125" style="27" customWidth="1"/>
    <col min="7" max="7" width="7" style="27" customWidth="1"/>
    <col min="8" max="8" width="17.5703125" style="27" customWidth="1"/>
    <col min="9" max="9" width="10.28515625" style="27" customWidth="1"/>
    <col min="10" max="10" width="4.7109375" style="27" customWidth="1"/>
    <col min="11" max="11" width="15.85546875" style="27" customWidth="1"/>
    <col min="12" max="12" width="9.140625" style="27"/>
    <col min="13" max="13" width="12.140625" style="27" customWidth="1"/>
    <col min="14" max="16384" width="9.140625" style="27"/>
  </cols>
  <sheetData>
    <row r="1" spans="1:14" ht="33" x14ac:dyDescent="0.45">
      <c r="A1" s="304" t="s">
        <v>583</v>
      </c>
      <c r="B1" s="304"/>
      <c r="C1" s="304"/>
      <c r="D1" s="304"/>
      <c r="E1" s="304"/>
      <c r="F1" s="304"/>
      <c r="G1" s="304"/>
      <c r="H1" s="304"/>
      <c r="I1" s="304"/>
    </row>
    <row r="3" spans="1:14" ht="15.75" x14ac:dyDescent="0.25">
      <c r="A3" s="28" t="s">
        <v>371</v>
      </c>
      <c r="B3" s="74">
        <v>2015</v>
      </c>
      <c r="C3" s="78"/>
      <c r="E3" s="216" t="s">
        <v>417</v>
      </c>
      <c r="M3" s="31"/>
      <c r="N3" s="31"/>
    </row>
    <row r="4" spans="1:14" x14ac:dyDescent="0.2">
      <c r="A4" s="29" t="s">
        <v>87</v>
      </c>
      <c r="B4" s="72">
        <v>20</v>
      </c>
      <c r="C4" s="79" t="s">
        <v>90</v>
      </c>
      <c r="E4" s="27" t="s">
        <v>418</v>
      </c>
      <c r="F4" s="27" t="s">
        <v>419</v>
      </c>
    </row>
    <row r="5" spans="1:14" x14ac:dyDescent="0.2">
      <c r="A5" s="29" t="s">
        <v>88</v>
      </c>
      <c r="B5" s="72">
        <v>3.25</v>
      </c>
      <c r="C5" s="80" t="s">
        <v>468</v>
      </c>
      <c r="E5" s="82" t="s">
        <v>473</v>
      </c>
      <c r="F5" s="295">
        <v>3730</v>
      </c>
    </row>
    <row r="6" spans="1:14" x14ac:dyDescent="0.2">
      <c r="A6" s="30" t="s">
        <v>432</v>
      </c>
      <c r="B6" s="75">
        <v>1.1499999999999999</v>
      </c>
      <c r="C6" s="80"/>
      <c r="E6" s="82" t="s">
        <v>480</v>
      </c>
      <c r="F6" s="295">
        <v>845</v>
      </c>
    </row>
    <row r="7" spans="1:14" x14ac:dyDescent="0.2">
      <c r="A7" s="30" t="s">
        <v>433</v>
      </c>
      <c r="B7" s="190">
        <f>B5*B6</f>
        <v>3.7374999999999998</v>
      </c>
      <c r="C7" s="79" t="s">
        <v>92</v>
      </c>
      <c r="E7" s="82" t="s">
        <v>413</v>
      </c>
      <c r="F7" s="295">
        <v>7310</v>
      </c>
    </row>
    <row r="8" spans="1:14" x14ac:dyDescent="0.2">
      <c r="A8" s="29" t="s">
        <v>89</v>
      </c>
      <c r="B8" s="73">
        <v>0.1</v>
      </c>
      <c r="C8" s="79" t="s">
        <v>91</v>
      </c>
      <c r="E8" s="82" t="s">
        <v>414</v>
      </c>
      <c r="F8" s="295">
        <v>3040</v>
      </c>
    </row>
    <row r="9" spans="1:14" x14ac:dyDescent="0.2">
      <c r="A9" s="29" t="s">
        <v>370</v>
      </c>
      <c r="B9" s="76">
        <v>0.02</v>
      </c>
      <c r="C9" s="81"/>
      <c r="E9" s="82" t="s">
        <v>415</v>
      </c>
      <c r="F9" s="295">
        <v>7685</v>
      </c>
    </row>
    <row r="10" spans="1:14" x14ac:dyDescent="0.2">
      <c r="A10" s="29" t="s">
        <v>106</v>
      </c>
      <c r="B10" s="76">
        <v>0.04</v>
      </c>
      <c r="C10" s="81"/>
      <c r="E10" s="82" t="s">
        <v>416</v>
      </c>
      <c r="F10" s="295">
        <v>3770</v>
      </c>
    </row>
    <row r="11" spans="1:14" x14ac:dyDescent="0.2">
      <c r="A11" s="29" t="s">
        <v>405</v>
      </c>
      <c r="B11" s="76">
        <v>5.5E-2</v>
      </c>
      <c r="C11" s="80"/>
      <c r="E11" s="69" t="s">
        <v>476</v>
      </c>
      <c r="F11" s="296">
        <v>1965</v>
      </c>
    </row>
    <row r="12" spans="1:14" x14ac:dyDescent="0.2">
      <c r="A12" s="29" t="s">
        <v>406</v>
      </c>
      <c r="B12" s="77">
        <v>6</v>
      </c>
      <c r="C12" s="80" t="s">
        <v>407</v>
      </c>
      <c r="E12" s="69" t="s">
        <v>101</v>
      </c>
      <c r="F12" s="296">
        <v>0</v>
      </c>
    </row>
    <row r="13" spans="1:14" ht="15.75" customHeight="1" x14ac:dyDescent="0.2">
      <c r="A13" s="29" t="s">
        <v>421</v>
      </c>
      <c r="B13" s="76">
        <v>0.01</v>
      </c>
      <c r="C13" s="80"/>
      <c r="E13" s="69" t="s">
        <v>593</v>
      </c>
      <c r="F13" s="296">
        <f>F9*0.7</f>
        <v>5379.5</v>
      </c>
    </row>
    <row r="14" spans="1:14" ht="12.75" customHeight="1" x14ac:dyDescent="0.2">
      <c r="A14" s="29" t="s">
        <v>457</v>
      </c>
      <c r="B14" s="72">
        <v>20</v>
      </c>
      <c r="C14" s="80"/>
    </row>
    <row r="15" spans="1:14" ht="12.75" customHeight="1" x14ac:dyDescent="0.2"/>
    <row r="16" spans="1:14" ht="12.75" customHeight="1" x14ac:dyDescent="0.2">
      <c r="A16" s="216" t="s">
        <v>410</v>
      </c>
    </row>
    <row r="17" spans="1:14" ht="12.75" customHeight="1" x14ac:dyDescent="0.2">
      <c r="A17" s="212" t="s">
        <v>503</v>
      </c>
      <c r="B17" s="212" t="s">
        <v>514</v>
      </c>
    </row>
    <row r="18" spans="1:14" ht="12.75" customHeight="1" x14ac:dyDescent="0.2">
      <c r="A18" s="210" t="s">
        <v>505</v>
      </c>
      <c r="B18" s="211">
        <v>23</v>
      </c>
    </row>
    <row r="19" spans="1:14" ht="12.75" customHeight="1" x14ac:dyDescent="0.2">
      <c r="A19" s="210" t="s">
        <v>596</v>
      </c>
      <c r="B19" s="211">
        <v>20</v>
      </c>
    </row>
    <row r="20" spans="1:14" ht="12.75" customHeight="1" x14ac:dyDescent="0.2">
      <c r="A20" s="210" t="s">
        <v>504</v>
      </c>
      <c r="B20" s="211">
        <v>10</v>
      </c>
    </row>
    <row r="21" spans="1:14" ht="12.75" customHeight="1" x14ac:dyDescent="0.2">
      <c r="A21" s="210" t="s">
        <v>508</v>
      </c>
      <c r="B21" s="211">
        <v>21</v>
      </c>
    </row>
    <row r="22" spans="1:14" ht="12.75" customHeight="1" x14ac:dyDescent="0.2">
      <c r="A22" s="210" t="s">
        <v>512</v>
      </c>
      <c r="B22" s="211">
        <v>11</v>
      </c>
    </row>
    <row r="23" spans="1:14" ht="12.75" customHeight="1" x14ac:dyDescent="0.2">
      <c r="A23" s="210" t="s">
        <v>513</v>
      </c>
      <c r="B23" s="211">
        <v>10</v>
      </c>
    </row>
    <row r="24" spans="1:14" ht="12.75" customHeight="1" x14ac:dyDescent="0.2">
      <c r="A24" s="210" t="s">
        <v>43</v>
      </c>
      <c r="B24" s="211">
        <v>15</v>
      </c>
    </row>
    <row r="25" spans="1:14" ht="12.75" customHeight="1" x14ac:dyDescent="0.2">
      <c r="A25" s="210" t="s">
        <v>46</v>
      </c>
      <c r="B25" s="211">
        <v>11</v>
      </c>
    </row>
    <row r="26" spans="1:14" x14ac:dyDescent="0.2">
      <c r="A26" s="210" t="s">
        <v>507</v>
      </c>
      <c r="B26" s="211">
        <v>16</v>
      </c>
    </row>
    <row r="27" spans="1:14" x14ac:dyDescent="0.2">
      <c r="A27" s="210" t="s">
        <v>506</v>
      </c>
      <c r="B27" s="211">
        <v>8.5</v>
      </c>
    </row>
    <row r="28" spans="1:14" x14ac:dyDescent="0.2">
      <c r="A28" s="210" t="s">
        <v>509</v>
      </c>
      <c r="B28" s="211">
        <v>20</v>
      </c>
    </row>
    <row r="29" spans="1:14" x14ac:dyDescent="0.2">
      <c r="A29" s="210" t="s">
        <v>581</v>
      </c>
      <c r="B29" s="211">
        <v>14</v>
      </c>
    </row>
    <row r="30" spans="1:14" x14ac:dyDescent="0.2">
      <c r="A30" s="210" t="s">
        <v>582</v>
      </c>
      <c r="B30" s="211">
        <v>19</v>
      </c>
    </row>
    <row r="31" spans="1:14" x14ac:dyDescent="0.2">
      <c r="A31" s="210" t="s">
        <v>515</v>
      </c>
      <c r="B31" s="211">
        <v>14.5</v>
      </c>
    </row>
    <row r="32" spans="1:14" x14ac:dyDescent="0.2">
      <c r="A32" s="210" t="s">
        <v>510</v>
      </c>
      <c r="B32" s="211">
        <v>9.5</v>
      </c>
      <c r="M32" s="27" t="s">
        <v>517</v>
      </c>
      <c r="N32" s="27" t="s">
        <v>518</v>
      </c>
    </row>
    <row r="33" spans="1:14" x14ac:dyDescent="0.2">
      <c r="A33" s="210" t="s">
        <v>511</v>
      </c>
      <c r="B33" s="210">
        <v>13.25</v>
      </c>
      <c r="L33" s="27">
        <v>1</v>
      </c>
      <c r="M33" s="27" t="s">
        <v>584</v>
      </c>
      <c r="N33" s="27" t="s">
        <v>519</v>
      </c>
    </row>
    <row r="34" spans="1:14" ht="13.5" customHeight="1" x14ac:dyDescent="0.2">
      <c r="L34" s="27">
        <v>2</v>
      </c>
      <c r="M34" s="27" t="s">
        <v>584</v>
      </c>
      <c r="N34" s="27" t="s">
        <v>519</v>
      </c>
    </row>
    <row r="35" spans="1:14" x14ac:dyDescent="0.2">
      <c r="L35" s="27">
        <v>3</v>
      </c>
      <c r="M35" s="27" t="s">
        <v>584</v>
      </c>
      <c r="N35" s="27" t="s">
        <v>519</v>
      </c>
    </row>
    <row r="36" spans="1:14" x14ac:dyDescent="0.2">
      <c r="L36" s="27">
        <v>4</v>
      </c>
      <c r="M36" s="27" t="s">
        <v>584</v>
      </c>
      <c r="N36" s="27" t="s">
        <v>519</v>
      </c>
    </row>
    <row r="37" spans="1:14" x14ac:dyDescent="0.2">
      <c r="L37" s="27">
        <v>5</v>
      </c>
      <c r="M37" s="27" t="s">
        <v>584</v>
      </c>
      <c r="N37" s="27" t="s">
        <v>519</v>
      </c>
    </row>
    <row r="38" spans="1:14" x14ac:dyDescent="0.2">
      <c r="L38" s="27">
        <v>6</v>
      </c>
      <c r="M38" s="27" t="s">
        <v>584</v>
      </c>
      <c r="N38" s="27" t="s">
        <v>519</v>
      </c>
    </row>
    <row r="39" spans="1:14" x14ac:dyDescent="0.2">
      <c r="L39" s="27">
        <v>7</v>
      </c>
      <c r="M39" s="27" t="s">
        <v>584</v>
      </c>
      <c r="N39" s="27" t="s">
        <v>519</v>
      </c>
    </row>
    <row r="40" spans="1:14" ht="13.5" thickBot="1" x14ac:dyDescent="0.25">
      <c r="A40" s="215" t="s">
        <v>517</v>
      </c>
      <c r="B40" s="215" t="s">
        <v>518</v>
      </c>
      <c r="D40" s="302" t="s">
        <v>517</v>
      </c>
      <c r="E40" s="303"/>
      <c r="F40" s="215" t="s">
        <v>518</v>
      </c>
      <c r="H40" s="215" t="s">
        <v>517</v>
      </c>
      <c r="I40" s="215" t="s">
        <v>518</v>
      </c>
      <c r="L40" s="27">
        <v>8</v>
      </c>
      <c r="M40" s="27" t="s">
        <v>584</v>
      </c>
      <c r="N40" s="27" t="s">
        <v>519</v>
      </c>
    </row>
    <row r="41" spans="1:14" ht="13.5" thickTop="1" x14ac:dyDescent="0.2">
      <c r="A41" s="214" t="str">
        <f>CONCATENATE(L33,"-",M33)</f>
        <v>1-Alfalfa</v>
      </c>
      <c r="B41" s="214" t="s">
        <v>519</v>
      </c>
      <c r="D41" s="305" t="str">
        <f t="shared" ref="D41:D62" si="0">CONCATENATE(L56,"-",M56)</f>
        <v>24-Corn</v>
      </c>
      <c r="E41" s="306" t="str">
        <f t="shared" ref="E41:E62" si="1">CONCATENATE(P33,"-",Q33)</f>
        <v>-</v>
      </c>
      <c r="F41" s="297" t="s">
        <v>519</v>
      </c>
      <c r="H41" s="214" t="str">
        <f t="shared" ref="H41:H62" si="2">CONCATENATE(L78,"-",M78)</f>
        <v>46-Soybeans</v>
      </c>
      <c r="I41" s="214" t="str">
        <f>CONCATENATE(T33,"-",U33)</f>
        <v>-</v>
      </c>
      <c r="L41" s="27">
        <v>9</v>
      </c>
      <c r="M41" s="27" t="s">
        <v>584</v>
      </c>
      <c r="N41" s="27" t="s">
        <v>519</v>
      </c>
    </row>
    <row r="42" spans="1:14" x14ac:dyDescent="0.2">
      <c r="A42" s="214" t="str">
        <f t="shared" ref="A42:A63" si="3">CONCATENATE(L34,"-",M34)</f>
        <v>2-Alfalfa</v>
      </c>
      <c r="B42" s="213" t="s">
        <v>519</v>
      </c>
      <c r="D42" s="305" t="str">
        <f t="shared" si="0"/>
        <v>25-Corn</v>
      </c>
      <c r="E42" s="306" t="str">
        <f t="shared" si="1"/>
        <v>-</v>
      </c>
      <c r="F42" s="213" t="s">
        <v>519</v>
      </c>
      <c r="H42" s="214" t="str">
        <f t="shared" si="2"/>
        <v>47-Soybeans</v>
      </c>
      <c r="I42" s="213" t="s">
        <v>519</v>
      </c>
      <c r="L42" s="27">
        <v>10</v>
      </c>
      <c r="M42" s="27" t="s">
        <v>584</v>
      </c>
      <c r="N42" s="27" t="s">
        <v>519</v>
      </c>
    </row>
    <row r="43" spans="1:14" x14ac:dyDescent="0.2">
      <c r="A43" s="214" t="str">
        <f t="shared" si="3"/>
        <v>3-Alfalfa</v>
      </c>
      <c r="B43" s="213" t="s">
        <v>519</v>
      </c>
      <c r="D43" s="305" t="str">
        <f t="shared" si="0"/>
        <v>26-Corn</v>
      </c>
      <c r="E43" s="306" t="str">
        <f t="shared" si="1"/>
        <v>-</v>
      </c>
      <c r="F43" s="213" t="s">
        <v>519</v>
      </c>
      <c r="H43" s="214" t="str">
        <f t="shared" si="2"/>
        <v>48-Soybeans</v>
      </c>
      <c r="I43" s="213" t="s">
        <v>519</v>
      </c>
      <c r="L43" s="27">
        <v>11</v>
      </c>
      <c r="M43" s="27" t="s">
        <v>584</v>
      </c>
      <c r="N43" s="27" t="s">
        <v>519</v>
      </c>
    </row>
    <row r="44" spans="1:14" x14ac:dyDescent="0.2">
      <c r="A44" s="214" t="str">
        <f t="shared" si="3"/>
        <v>4-Alfalfa</v>
      </c>
      <c r="B44" s="213" t="s">
        <v>519</v>
      </c>
      <c r="D44" s="305" t="str">
        <f t="shared" si="0"/>
        <v>27-Corn</v>
      </c>
      <c r="E44" s="306" t="str">
        <f t="shared" si="1"/>
        <v>-</v>
      </c>
      <c r="F44" s="213" t="s">
        <v>519</v>
      </c>
      <c r="H44" s="214" t="str">
        <f t="shared" si="2"/>
        <v>49-Soybeans</v>
      </c>
      <c r="I44" s="213" t="s">
        <v>519</v>
      </c>
      <c r="L44" s="27">
        <v>12</v>
      </c>
      <c r="M44" s="27" t="s">
        <v>584</v>
      </c>
      <c r="N44" s="27" t="s">
        <v>519</v>
      </c>
    </row>
    <row r="45" spans="1:14" x14ac:dyDescent="0.2">
      <c r="A45" s="214" t="str">
        <f t="shared" si="3"/>
        <v>5-Alfalfa</v>
      </c>
      <c r="B45" s="213" t="s">
        <v>519</v>
      </c>
      <c r="D45" s="305" t="str">
        <f t="shared" si="0"/>
        <v>28-Corn</v>
      </c>
      <c r="E45" s="306" t="str">
        <f t="shared" si="1"/>
        <v>-</v>
      </c>
      <c r="F45" s="213" t="s">
        <v>519</v>
      </c>
      <c r="H45" s="214" t="str">
        <f t="shared" si="2"/>
        <v>50-Soybeans</v>
      </c>
      <c r="I45" s="213" t="s">
        <v>519</v>
      </c>
      <c r="L45" s="27">
        <v>13</v>
      </c>
      <c r="M45" s="27" t="s">
        <v>584</v>
      </c>
      <c r="N45" s="27" t="s">
        <v>519</v>
      </c>
    </row>
    <row r="46" spans="1:14" x14ac:dyDescent="0.2">
      <c r="A46" s="214" t="str">
        <f t="shared" si="3"/>
        <v>6-Alfalfa</v>
      </c>
      <c r="B46" s="213" t="s">
        <v>519</v>
      </c>
      <c r="D46" s="305" t="str">
        <f t="shared" si="0"/>
        <v>29-Corn</v>
      </c>
      <c r="E46" s="306" t="str">
        <f t="shared" si="1"/>
        <v>-</v>
      </c>
      <c r="F46" s="213" t="s">
        <v>519</v>
      </c>
      <c r="H46" s="214" t="str">
        <f t="shared" si="2"/>
        <v>51-Soybeans</v>
      </c>
      <c r="I46" s="213" t="s">
        <v>519</v>
      </c>
      <c r="L46" s="27">
        <v>14</v>
      </c>
      <c r="M46" s="27" t="s">
        <v>584</v>
      </c>
      <c r="N46" s="27" t="s">
        <v>519</v>
      </c>
    </row>
    <row r="47" spans="1:14" x14ac:dyDescent="0.2">
      <c r="A47" s="214" t="str">
        <f t="shared" si="3"/>
        <v>7-Alfalfa</v>
      </c>
      <c r="B47" s="213" t="s">
        <v>519</v>
      </c>
      <c r="D47" s="305" t="str">
        <f t="shared" si="0"/>
        <v>30-Dry Beans</v>
      </c>
      <c r="E47" s="306" t="str">
        <f t="shared" si="1"/>
        <v>-</v>
      </c>
      <c r="F47" s="213" t="s">
        <v>519</v>
      </c>
      <c r="H47" s="214" t="str">
        <f t="shared" si="2"/>
        <v>52-Soybeans</v>
      </c>
      <c r="I47" s="213" t="s">
        <v>519</v>
      </c>
      <c r="L47" s="27">
        <v>15</v>
      </c>
      <c r="M47" s="27" t="s">
        <v>23</v>
      </c>
      <c r="N47" s="27" t="s">
        <v>520</v>
      </c>
    </row>
    <row r="48" spans="1:14" x14ac:dyDescent="0.2">
      <c r="A48" s="214" t="str">
        <f t="shared" si="3"/>
        <v>8-Alfalfa</v>
      </c>
      <c r="B48" s="213" t="s">
        <v>519</v>
      </c>
      <c r="D48" s="305" t="str">
        <f t="shared" si="0"/>
        <v>31-Dry Beans</v>
      </c>
      <c r="E48" s="306" t="str">
        <f t="shared" si="1"/>
        <v>-</v>
      </c>
      <c r="F48" s="213" t="s">
        <v>519</v>
      </c>
      <c r="H48" s="214" t="str">
        <f t="shared" si="2"/>
        <v>53-Soybeans</v>
      </c>
      <c r="I48" s="213" t="s">
        <v>519</v>
      </c>
      <c r="L48" s="27">
        <v>16</v>
      </c>
      <c r="M48" s="27" t="s">
        <v>23</v>
      </c>
      <c r="N48" s="27" t="s">
        <v>520</v>
      </c>
    </row>
    <row r="49" spans="1:14" x14ac:dyDescent="0.2">
      <c r="A49" s="214" t="str">
        <f t="shared" si="3"/>
        <v>9-Alfalfa</v>
      </c>
      <c r="B49" s="213" t="s">
        <v>520</v>
      </c>
      <c r="D49" s="305" t="str">
        <f t="shared" si="0"/>
        <v>32-Dry Beans</v>
      </c>
      <c r="E49" s="306" t="str">
        <f t="shared" si="1"/>
        <v>-</v>
      </c>
      <c r="F49" s="213" t="s">
        <v>520</v>
      </c>
      <c r="H49" s="214" t="str">
        <f t="shared" si="2"/>
        <v>54-Sugar Beets</v>
      </c>
      <c r="I49" s="213" t="s">
        <v>520</v>
      </c>
      <c r="L49" s="27">
        <v>17</v>
      </c>
      <c r="M49" s="27" t="s">
        <v>23</v>
      </c>
      <c r="N49" s="27" t="s">
        <v>520</v>
      </c>
    </row>
    <row r="50" spans="1:14" x14ac:dyDescent="0.2">
      <c r="A50" s="214" t="str">
        <f t="shared" si="3"/>
        <v>10-Alfalfa</v>
      </c>
      <c r="B50" s="213" t="s">
        <v>520</v>
      </c>
      <c r="D50" s="305" t="str">
        <f t="shared" si="0"/>
        <v>33-Dry Beans</v>
      </c>
      <c r="E50" s="306" t="str">
        <f t="shared" si="1"/>
        <v>-</v>
      </c>
      <c r="F50" s="213" t="s">
        <v>520</v>
      </c>
      <c r="H50" s="214" t="str">
        <f t="shared" si="2"/>
        <v>55-Sugar Beets</v>
      </c>
      <c r="I50" s="213" t="s">
        <v>520</v>
      </c>
      <c r="L50" s="27">
        <v>18</v>
      </c>
      <c r="M50" s="27" t="s">
        <v>23</v>
      </c>
      <c r="N50" s="27" t="s">
        <v>520</v>
      </c>
    </row>
    <row r="51" spans="1:14" x14ac:dyDescent="0.2">
      <c r="A51" s="214" t="str">
        <f t="shared" si="3"/>
        <v>11-Alfalfa</v>
      </c>
      <c r="B51" s="213" t="s">
        <v>520</v>
      </c>
      <c r="D51" s="305" t="str">
        <f t="shared" si="0"/>
        <v>34-Grain Sorghum</v>
      </c>
      <c r="E51" s="306" t="str">
        <f t="shared" si="1"/>
        <v>-</v>
      </c>
      <c r="F51" s="213" t="s">
        <v>520</v>
      </c>
      <c r="H51" s="214" t="str">
        <f t="shared" si="2"/>
        <v>56-Sugar Beets</v>
      </c>
      <c r="I51" s="213" t="s">
        <v>520</v>
      </c>
      <c r="L51" s="27">
        <v>19</v>
      </c>
      <c r="M51" s="27" t="s">
        <v>23</v>
      </c>
      <c r="N51" s="27" t="s">
        <v>525</v>
      </c>
    </row>
    <row r="52" spans="1:14" x14ac:dyDescent="0.2">
      <c r="A52" s="214" t="str">
        <f t="shared" si="3"/>
        <v>12-Alfalfa</v>
      </c>
      <c r="B52" s="213" t="s">
        <v>520</v>
      </c>
      <c r="D52" s="305" t="str">
        <f t="shared" si="0"/>
        <v>35-Grain Sorghum</v>
      </c>
      <c r="E52" s="306" t="str">
        <f t="shared" si="1"/>
        <v>-</v>
      </c>
      <c r="F52" s="213" t="s">
        <v>520</v>
      </c>
      <c r="H52" s="214" t="str">
        <f t="shared" si="2"/>
        <v>57-Sugar Beets</v>
      </c>
      <c r="I52" s="213" t="s">
        <v>520</v>
      </c>
      <c r="L52" s="27">
        <v>20</v>
      </c>
      <c r="M52" s="27" t="s">
        <v>23</v>
      </c>
      <c r="N52" s="27" t="s">
        <v>520</v>
      </c>
    </row>
    <row r="53" spans="1:14" x14ac:dyDescent="0.2">
      <c r="A53" s="214" t="str">
        <f t="shared" si="3"/>
        <v>13-Alfalfa</v>
      </c>
      <c r="B53" s="213" t="s">
        <v>520</v>
      </c>
      <c r="D53" s="305" t="str">
        <f t="shared" si="0"/>
        <v>36-Grain Sorghum</v>
      </c>
      <c r="E53" s="306" t="str">
        <f t="shared" si="1"/>
        <v>-</v>
      </c>
      <c r="F53" s="213" t="s">
        <v>520</v>
      </c>
      <c r="H53" s="214" t="str">
        <f t="shared" si="2"/>
        <v>58-Sunflower</v>
      </c>
      <c r="I53" s="213" t="s">
        <v>520</v>
      </c>
      <c r="L53" s="27">
        <v>21</v>
      </c>
      <c r="M53" s="27" t="s">
        <v>23</v>
      </c>
      <c r="N53" s="27" t="s">
        <v>520</v>
      </c>
    </row>
    <row r="54" spans="1:14" x14ac:dyDescent="0.2">
      <c r="A54" s="214" t="str">
        <f t="shared" si="3"/>
        <v>14-Alfalfa</v>
      </c>
      <c r="B54" s="213" t="s">
        <v>520</v>
      </c>
      <c r="D54" s="305" t="str">
        <f t="shared" si="0"/>
        <v>37-Grain Sorghum</v>
      </c>
      <c r="E54" s="306" t="str">
        <f t="shared" si="1"/>
        <v>-</v>
      </c>
      <c r="F54" s="213" t="s">
        <v>520</v>
      </c>
      <c r="H54" s="214" t="str">
        <f t="shared" si="2"/>
        <v>59-Sunflower</v>
      </c>
      <c r="I54" s="213" t="s">
        <v>520</v>
      </c>
      <c r="L54" s="27">
        <v>22</v>
      </c>
      <c r="M54" s="27" t="s">
        <v>23</v>
      </c>
      <c r="N54" s="27" t="s">
        <v>520</v>
      </c>
    </row>
    <row r="55" spans="1:14" x14ac:dyDescent="0.2">
      <c r="A55" s="214" t="str">
        <f t="shared" si="3"/>
        <v>15-Corn</v>
      </c>
      <c r="B55" s="213" t="s">
        <v>520</v>
      </c>
      <c r="D55" s="305" t="str">
        <f t="shared" si="0"/>
        <v>38-Grass</v>
      </c>
      <c r="E55" s="306" t="str">
        <f t="shared" si="1"/>
        <v>-</v>
      </c>
      <c r="F55" s="213" t="s">
        <v>520</v>
      </c>
      <c r="H55" s="214" t="str">
        <f t="shared" si="2"/>
        <v>60-Sunflower</v>
      </c>
      <c r="I55" s="213" t="s">
        <v>520</v>
      </c>
      <c r="L55" s="27">
        <v>23</v>
      </c>
      <c r="M55" s="27" t="s">
        <v>23</v>
      </c>
      <c r="N55" s="27" t="s">
        <v>520</v>
      </c>
    </row>
    <row r="56" spans="1:14" x14ac:dyDescent="0.2">
      <c r="A56" s="214" t="str">
        <f t="shared" si="3"/>
        <v>16-Corn</v>
      </c>
      <c r="B56" s="213" t="s">
        <v>520</v>
      </c>
      <c r="D56" s="305" t="str">
        <f t="shared" si="0"/>
        <v>39-Grass Hay</v>
      </c>
      <c r="E56" s="306" t="str">
        <f t="shared" si="1"/>
        <v>-</v>
      </c>
      <c r="F56" s="213" t="s">
        <v>520</v>
      </c>
      <c r="H56" s="214" t="str">
        <f t="shared" si="2"/>
        <v>61-Wheat</v>
      </c>
      <c r="I56" s="213" t="s">
        <v>520</v>
      </c>
      <c r="L56" s="27">
        <v>24</v>
      </c>
      <c r="M56" s="27" t="s">
        <v>23</v>
      </c>
      <c r="N56" s="27" t="s">
        <v>520</v>
      </c>
    </row>
    <row r="57" spans="1:14" x14ac:dyDescent="0.2">
      <c r="A57" s="214" t="str">
        <f t="shared" si="3"/>
        <v>17-Corn</v>
      </c>
      <c r="B57" s="213" t="s">
        <v>520</v>
      </c>
      <c r="D57" s="305" t="str">
        <f t="shared" si="0"/>
        <v>40-Millet</v>
      </c>
      <c r="E57" s="306" t="str">
        <f t="shared" si="1"/>
        <v>-</v>
      </c>
      <c r="F57" s="213" t="s">
        <v>520</v>
      </c>
      <c r="H57" s="214" t="str">
        <f t="shared" si="2"/>
        <v>62-Wheat</v>
      </c>
      <c r="I57" s="213" t="s">
        <v>520</v>
      </c>
      <c r="L57" s="27">
        <v>25</v>
      </c>
      <c r="M57" s="27" t="s">
        <v>23</v>
      </c>
      <c r="N57" s="27" t="s">
        <v>520</v>
      </c>
    </row>
    <row r="58" spans="1:14" x14ac:dyDescent="0.2">
      <c r="A58" s="214" t="str">
        <f t="shared" si="3"/>
        <v>18-Corn</v>
      </c>
      <c r="B58" s="213" t="s">
        <v>520</v>
      </c>
      <c r="D58" s="305" t="str">
        <f t="shared" si="0"/>
        <v>41-Millet</v>
      </c>
      <c r="E58" s="306" t="str">
        <f t="shared" si="1"/>
        <v>-</v>
      </c>
      <c r="F58" s="213" t="s">
        <v>520</v>
      </c>
      <c r="H58" s="214" t="str">
        <f t="shared" si="2"/>
        <v>63-Wheat</v>
      </c>
      <c r="I58" s="213" t="s">
        <v>520</v>
      </c>
      <c r="L58" s="27">
        <v>26</v>
      </c>
      <c r="M58" s="27" t="s">
        <v>23</v>
      </c>
      <c r="N58" s="27" t="s">
        <v>520</v>
      </c>
    </row>
    <row r="59" spans="1:14" x14ac:dyDescent="0.2">
      <c r="A59" s="214" t="str">
        <f t="shared" si="3"/>
        <v>19-Corn</v>
      </c>
      <c r="B59" s="213" t="s">
        <v>520</v>
      </c>
      <c r="D59" s="305" t="str">
        <f t="shared" si="0"/>
        <v>42-Oats</v>
      </c>
      <c r="E59" s="306" t="str">
        <f t="shared" si="1"/>
        <v>-</v>
      </c>
      <c r="F59" s="213" t="s">
        <v>520</v>
      </c>
      <c r="H59" s="214" t="str">
        <f t="shared" si="2"/>
        <v>64-Wheat</v>
      </c>
      <c r="I59" s="213" t="s">
        <v>520</v>
      </c>
      <c r="L59" s="27">
        <v>27</v>
      </c>
      <c r="M59" s="27" t="s">
        <v>23</v>
      </c>
      <c r="N59" s="27" t="s">
        <v>520</v>
      </c>
    </row>
    <row r="60" spans="1:14" x14ac:dyDescent="0.2">
      <c r="A60" s="214" t="str">
        <f t="shared" si="3"/>
        <v>20-Corn</v>
      </c>
      <c r="B60" s="213" t="s">
        <v>520</v>
      </c>
      <c r="D60" s="305" t="str">
        <f t="shared" si="0"/>
        <v>43-Pasture</v>
      </c>
      <c r="E60" s="306" t="str">
        <f t="shared" si="1"/>
        <v>-</v>
      </c>
      <c r="F60" s="213" t="s">
        <v>520</v>
      </c>
      <c r="H60" s="214" t="str">
        <f t="shared" si="2"/>
        <v>65-Wheat</v>
      </c>
      <c r="I60" s="213" t="s">
        <v>520</v>
      </c>
      <c r="L60" s="27">
        <v>28</v>
      </c>
      <c r="M60" s="27" t="s">
        <v>23</v>
      </c>
      <c r="N60" s="27" t="s">
        <v>520</v>
      </c>
    </row>
    <row r="61" spans="1:14" x14ac:dyDescent="0.2">
      <c r="A61" s="214" t="str">
        <f t="shared" si="3"/>
        <v>21-Corn</v>
      </c>
      <c r="B61" s="213" t="s">
        <v>521</v>
      </c>
      <c r="D61" s="305" t="str">
        <f t="shared" si="0"/>
        <v>44-Peas</v>
      </c>
      <c r="E61" s="306" t="str">
        <f t="shared" si="1"/>
        <v>-</v>
      </c>
      <c r="F61" s="213" t="s">
        <v>521</v>
      </c>
      <c r="H61" s="214" t="str">
        <f t="shared" si="2"/>
        <v>66-Wheat</v>
      </c>
      <c r="I61" s="213" t="s">
        <v>521</v>
      </c>
      <c r="L61" s="27">
        <v>29</v>
      </c>
      <c r="M61" s="27" t="s">
        <v>23</v>
      </c>
      <c r="N61" s="27" t="s">
        <v>520</v>
      </c>
    </row>
    <row r="62" spans="1:14" x14ac:dyDescent="0.2">
      <c r="A62" s="214" t="str">
        <f t="shared" si="3"/>
        <v>22-Corn</v>
      </c>
      <c r="B62" s="213" t="s">
        <v>521</v>
      </c>
      <c r="D62" s="305" t="str">
        <f t="shared" si="0"/>
        <v>45-Sorghum-Sudan</v>
      </c>
      <c r="E62" s="306" t="str">
        <f t="shared" si="1"/>
        <v>-</v>
      </c>
      <c r="F62" s="213" t="s">
        <v>521</v>
      </c>
      <c r="H62" s="214" t="str">
        <f t="shared" si="2"/>
        <v>67-Wheat</v>
      </c>
      <c r="I62" s="213" t="s">
        <v>521</v>
      </c>
      <c r="L62" s="27">
        <v>30</v>
      </c>
      <c r="M62" s="27" t="s">
        <v>585</v>
      </c>
      <c r="N62" s="27" t="s">
        <v>521</v>
      </c>
    </row>
    <row r="63" spans="1:14" x14ac:dyDescent="0.2">
      <c r="A63" s="214" t="str">
        <f t="shared" si="3"/>
        <v>23-Corn</v>
      </c>
      <c r="B63" s="213" t="s">
        <v>521</v>
      </c>
      <c r="L63" s="27">
        <v>31</v>
      </c>
      <c r="M63" s="27" t="s">
        <v>585</v>
      </c>
      <c r="N63" s="27" t="s">
        <v>521</v>
      </c>
    </row>
    <row r="64" spans="1:14" x14ac:dyDescent="0.2">
      <c r="L64" s="27">
        <v>32</v>
      </c>
      <c r="M64" s="27" t="s">
        <v>585</v>
      </c>
      <c r="N64" s="27" t="s">
        <v>521</v>
      </c>
    </row>
    <row r="65" spans="12:14" x14ac:dyDescent="0.2">
      <c r="L65" s="27">
        <v>33</v>
      </c>
      <c r="M65" s="27" t="s">
        <v>585</v>
      </c>
      <c r="N65" s="27" t="s">
        <v>521</v>
      </c>
    </row>
    <row r="66" spans="12:14" x14ac:dyDescent="0.2">
      <c r="L66" s="27">
        <v>34</v>
      </c>
      <c r="M66" s="27" t="s">
        <v>586</v>
      </c>
      <c r="N66" s="27" t="s">
        <v>522</v>
      </c>
    </row>
    <row r="67" spans="12:14" x14ac:dyDescent="0.2">
      <c r="L67" s="27">
        <v>35</v>
      </c>
      <c r="M67" s="27" t="s">
        <v>586</v>
      </c>
      <c r="N67" s="27" t="s">
        <v>522</v>
      </c>
    </row>
    <row r="68" spans="12:14" x14ac:dyDescent="0.2">
      <c r="L68" s="27">
        <v>36</v>
      </c>
      <c r="M68" s="27" t="s">
        <v>586</v>
      </c>
      <c r="N68" s="27" t="s">
        <v>522</v>
      </c>
    </row>
    <row r="69" spans="12:14" x14ac:dyDescent="0.2">
      <c r="L69" s="27">
        <v>37</v>
      </c>
      <c r="M69" s="27" t="s">
        <v>586</v>
      </c>
      <c r="N69" s="27" t="s">
        <v>522</v>
      </c>
    </row>
    <row r="70" spans="12:14" x14ac:dyDescent="0.2">
      <c r="L70" s="27">
        <v>38</v>
      </c>
      <c r="M70" s="27" t="s">
        <v>587</v>
      </c>
      <c r="N70" s="27" t="s">
        <v>519</v>
      </c>
    </row>
    <row r="71" spans="12:14" x14ac:dyDescent="0.2">
      <c r="L71" s="27">
        <v>39</v>
      </c>
      <c r="M71" s="27" t="s">
        <v>588</v>
      </c>
      <c r="N71" s="27" t="s">
        <v>519</v>
      </c>
    </row>
    <row r="72" spans="12:14" x14ac:dyDescent="0.2">
      <c r="L72" s="27">
        <v>40</v>
      </c>
      <c r="M72" s="27" t="s">
        <v>43</v>
      </c>
      <c r="N72" s="27" t="s">
        <v>521</v>
      </c>
    </row>
    <row r="73" spans="12:14" x14ac:dyDescent="0.2">
      <c r="L73" s="27">
        <v>41</v>
      </c>
      <c r="M73" s="27" t="s">
        <v>43</v>
      </c>
      <c r="N73" s="27" t="s">
        <v>521</v>
      </c>
    </row>
    <row r="74" spans="12:14" x14ac:dyDescent="0.2">
      <c r="L74" s="27">
        <v>42</v>
      </c>
      <c r="M74" s="27" t="s">
        <v>46</v>
      </c>
      <c r="N74" s="27" t="s">
        <v>523</v>
      </c>
    </row>
    <row r="75" spans="12:14" x14ac:dyDescent="0.2">
      <c r="L75" s="27">
        <v>43</v>
      </c>
      <c r="M75" s="27" t="s">
        <v>589</v>
      </c>
      <c r="N75" s="27" t="s">
        <v>519</v>
      </c>
    </row>
    <row r="76" spans="12:14" x14ac:dyDescent="0.2">
      <c r="L76" s="27">
        <v>44</v>
      </c>
      <c r="M76" s="27" t="s">
        <v>559</v>
      </c>
      <c r="N76" s="27" t="s">
        <v>519</v>
      </c>
    </row>
    <row r="77" spans="12:14" x14ac:dyDescent="0.2">
      <c r="L77" s="27">
        <v>45</v>
      </c>
      <c r="M77" s="27" t="s">
        <v>590</v>
      </c>
      <c r="N77" s="27" t="s">
        <v>519</v>
      </c>
    </row>
    <row r="78" spans="12:14" x14ac:dyDescent="0.2">
      <c r="L78" s="27">
        <v>46</v>
      </c>
      <c r="M78" s="27" t="s">
        <v>591</v>
      </c>
      <c r="N78" s="27" t="s">
        <v>520</v>
      </c>
    </row>
    <row r="79" spans="12:14" x14ac:dyDescent="0.2">
      <c r="L79" s="27">
        <v>47</v>
      </c>
      <c r="M79" s="27" t="s">
        <v>591</v>
      </c>
      <c r="N79" s="27" t="s">
        <v>520</v>
      </c>
    </row>
    <row r="80" spans="12:14" x14ac:dyDescent="0.2">
      <c r="L80" s="27">
        <v>48</v>
      </c>
      <c r="M80" s="27" t="s">
        <v>591</v>
      </c>
      <c r="N80" s="27" t="s">
        <v>520</v>
      </c>
    </row>
    <row r="81" spans="12:14" x14ac:dyDescent="0.2">
      <c r="L81" s="27">
        <v>49</v>
      </c>
      <c r="M81" s="27" t="s">
        <v>591</v>
      </c>
      <c r="N81" s="27" t="s">
        <v>520</v>
      </c>
    </row>
    <row r="82" spans="12:14" x14ac:dyDescent="0.2">
      <c r="L82" s="27">
        <v>50</v>
      </c>
      <c r="M82" s="27" t="s">
        <v>591</v>
      </c>
      <c r="N82" s="27" t="s">
        <v>520</v>
      </c>
    </row>
    <row r="83" spans="12:14" x14ac:dyDescent="0.2">
      <c r="L83" s="27">
        <v>51</v>
      </c>
      <c r="M83" s="27" t="s">
        <v>591</v>
      </c>
      <c r="N83" s="27" t="s">
        <v>520</v>
      </c>
    </row>
    <row r="84" spans="12:14" x14ac:dyDescent="0.2">
      <c r="L84" s="27">
        <v>52</v>
      </c>
      <c r="M84" s="27" t="s">
        <v>591</v>
      </c>
      <c r="N84" s="27" t="s">
        <v>520</v>
      </c>
    </row>
    <row r="85" spans="12:14" x14ac:dyDescent="0.2">
      <c r="L85" s="27">
        <v>53</v>
      </c>
      <c r="M85" s="27" t="s">
        <v>591</v>
      </c>
      <c r="N85" s="27" t="s">
        <v>520</v>
      </c>
    </row>
    <row r="86" spans="12:14" x14ac:dyDescent="0.2">
      <c r="L86" s="27">
        <v>54</v>
      </c>
      <c r="M86" s="27" t="s">
        <v>509</v>
      </c>
      <c r="N86" s="27" t="s">
        <v>524</v>
      </c>
    </row>
    <row r="87" spans="12:14" x14ac:dyDescent="0.2">
      <c r="L87" s="27">
        <v>55</v>
      </c>
      <c r="M87" s="27" t="s">
        <v>509</v>
      </c>
      <c r="N87" s="27" t="s">
        <v>524</v>
      </c>
    </row>
    <row r="88" spans="12:14" x14ac:dyDescent="0.2">
      <c r="L88" s="27">
        <v>56</v>
      </c>
      <c r="M88" s="27" t="s">
        <v>509</v>
      </c>
      <c r="N88" s="27" t="s">
        <v>524</v>
      </c>
    </row>
    <row r="89" spans="12:14" x14ac:dyDescent="0.2">
      <c r="L89" s="27">
        <v>57</v>
      </c>
      <c r="M89" s="27" t="s">
        <v>509</v>
      </c>
      <c r="N89" s="27" t="s">
        <v>524</v>
      </c>
    </row>
    <row r="90" spans="12:14" x14ac:dyDescent="0.2">
      <c r="L90" s="27">
        <v>58</v>
      </c>
      <c r="M90" s="27" t="s">
        <v>58</v>
      </c>
      <c r="N90" s="27" t="s">
        <v>525</v>
      </c>
    </row>
    <row r="91" spans="12:14" x14ac:dyDescent="0.2">
      <c r="L91" s="27">
        <v>59</v>
      </c>
      <c r="M91" s="27" t="s">
        <v>58</v>
      </c>
      <c r="N91" s="27" t="s">
        <v>525</v>
      </c>
    </row>
    <row r="92" spans="12:14" x14ac:dyDescent="0.2">
      <c r="L92" s="27">
        <v>60</v>
      </c>
      <c r="M92" s="27" t="s">
        <v>58</v>
      </c>
      <c r="N92" s="27" t="s">
        <v>525</v>
      </c>
    </row>
    <row r="93" spans="12:14" x14ac:dyDescent="0.2">
      <c r="L93" s="27">
        <v>61</v>
      </c>
      <c r="M93" s="27" t="s">
        <v>592</v>
      </c>
      <c r="N93" s="27" t="s">
        <v>526</v>
      </c>
    </row>
    <row r="94" spans="12:14" x14ac:dyDescent="0.2">
      <c r="L94" s="27">
        <v>62</v>
      </c>
      <c r="M94" s="27" t="s">
        <v>592</v>
      </c>
      <c r="N94" s="27" t="s">
        <v>526</v>
      </c>
    </row>
    <row r="95" spans="12:14" x14ac:dyDescent="0.2">
      <c r="L95" s="27">
        <v>63</v>
      </c>
      <c r="M95" s="27" t="s">
        <v>592</v>
      </c>
      <c r="N95" s="27" t="s">
        <v>526</v>
      </c>
    </row>
    <row r="96" spans="12:14" x14ac:dyDescent="0.2">
      <c r="L96" s="27">
        <v>64</v>
      </c>
      <c r="M96" s="27" t="s">
        <v>592</v>
      </c>
      <c r="N96" s="27" t="s">
        <v>526</v>
      </c>
    </row>
    <row r="97" spans="12:14" x14ac:dyDescent="0.2">
      <c r="L97" s="27">
        <v>65</v>
      </c>
      <c r="M97" s="27" t="s">
        <v>592</v>
      </c>
      <c r="N97" s="27" t="s">
        <v>526</v>
      </c>
    </row>
    <row r="98" spans="12:14" x14ac:dyDescent="0.2">
      <c r="L98" s="27">
        <v>66</v>
      </c>
      <c r="M98" s="27" t="s">
        <v>592</v>
      </c>
      <c r="N98" s="27" t="s">
        <v>526</v>
      </c>
    </row>
    <row r="99" spans="12:14" x14ac:dyDescent="0.2">
      <c r="L99" s="27">
        <v>67</v>
      </c>
      <c r="M99" s="27" t="s">
        <v>592</v>
      </c>
      <c r="N99" s="27" t="s">
        <v>526</v>
      </c>
    </row>
  </sheetData>
  <sortState ref="A16:A28">
    <sortCondition ref="A3"/>
  </sortState>
  <mergeCells count="24">
    <mergeCell ref="D46:E46"/>
    <mergeCell ref="D62:E62"/>
    <mergeCell ref="D53:E53"/>
    <mergeCell ref="D54:E54"/>
    <mergeCell ref="D55:E55"/>
    <mergeCell ref="D56:E56"/>
    <mergeCell ref="D57:E57"/>
    <mergeCell ref="D58:E58"/>
    <mergeCell ref="D40:E40"/>
    <mergeCell ref="A1:I1"/>
    <mergeCell ref="D59:E59"/>
    <mergeCell ref="D60:E60"/>
    <mergeCell ref="D61:E61"/>
    <mergeCell ref="D47:E47"/>
    <mergeCell ref="D48:E48"/>
    <mergeCell ref="D49:E49"/>
    <mergeCell ref="D50:E50"/>
    <mergeCell ref="D51:E51"/>
    <mergeCell ref="D52:E52"/>
    <mergeCell ref="D41:E41"/>
    <mergeCell ref="D42:E42"/>
    <mergeCell ref="D43:E43"/>
    <mergeCell ref="D44:E44"/>
    <mergeCell ref="D45:E45"/>
  </mergeCells>
  <pageMargins left="0.7" right="0.7" top="0.75" bottom="0.75" header="0.3" footer="0.3"/>
  <pageSetup scale="80" orientation="portrait" r:id="rId1"/>
  <drawing r:id="rId2"/>
  <tableParts count="1">
    <tablePart r:id="rId3"/>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03"/>
  <dimension ref="A1:AB13"/>
  <sheetViews>
    <sheetView workbookViewId="0">
      <selection sqref="A1:I1"/>
    </sheetView>
  </sheetViews>
  <sheetFormatPr defaultRowHeight="12.75" x14ac:dyDescent="0.2"/>
  <cols>
    <col min="1" max="1" width="20.7109375" style="94" customWidth="1"/>
    <col min="2" max="2" width="30.5703125" style="94" customWidth="1"/>
    <col min="3" max="3" width="35" style="94" customWidth="1"/>
    <col min="4" max="5" width="11.5703125" style="94" customWidth="1"/>
    <col min="6" max="6" width="13.28515625" style="94" customWidth="1"/>
    <col min="7" max="7" width="13.7109375" style="94" customWidth="1"/>
    <col min="8" max="9" width="11.7109375" style="94" customWidth="1"/>
    <col min="10" max="10" width="10.28515625" style="94" customWidth="1"/>
    <col min="11" max="11" width="13.28515625" style="94" customWidth="1"/>
    <col min="12" max="12" width="14" style="94" customWidth="1"/>
    <col min="13" max="13" width="12.28515625" style="94" customWidth="1"/>
    <col min="14" max="14" width="9.85546875" style="94" customWidth="1"/>
    <col min="15" max="16" width="11.7109375" style="94" customWidth="1"/>
    <col min="17" max="17" width="32.85546875" style="94" bestFit="1" customWidth="1"/>
    <col min="18" max="18" width="35.5703125" style="94" customWidth="1"/>
    <col min="19" max="19" width="18.42578125" style="94" customWidth="1"/>
    <col min="20" max="20" width="12.28515625" style="94" customWidth="1"/>
    <col min="21" max="21" width="16" style="94" customWidth="1"/>
    <col min="22" max="22" width="11" style="94" customWidth="1"/>
    <col min="23" max="23" width="25.28515625" style="94" bestFit="1" customWidth="1"/>
    <col min="24" max="24" width="26.5703125" style="94" customWidth="1"/>
    <col min="25" max="25" width="42.140625" style="94" customWidth="1"/>
    <col min="26" max="26" width="6.7109375" style="94" customWidth="1"/>
    <col min="27" max="27" width="7.85546875" style="94" customWidth="1"/>
    <col min="28" max="16384" width="9.140625" style="94"/>
  </cols>
  <sheetData>
    <row r="1" spans="1:28" ht="47.25" customHeight="1" x14ac:dyDescent="0.25">
      <c r="A1" s="89" t="s">
        <v>109</v>
      </c>
      <c r="B1" s="90" t="s">
        <v>107</v>
      </c>
      <c r="C1" s="91" t="s">
        <v>108</v>
      </c>
      <c r="D1" s="91" t="s">
        <v>104</v>
      </c>
      <c r="E1" s="92" t="s">
        <v>365</v>
      </c>
      <c r="F1" s="91" t="s">
        <v>105</v>
      </c>
      <c r="G1" s="91" t="s">
        <v>273</v>
      </c>
      <c r="H1" s="93" t="s">
        <v>366</v>
      </c>
      <c r="I1" s="92" t="s">
        <v>367</v>
      </c>
      <c r="J1" s="92" t="s">
        <v>274</v>
      </c>
      <c r="K1" s="92" t="s">
        <v>368</v>
      </c>
      <c r="L1" s="92" t="s">
        <v>369</v>
      </c>
      <c r="M1" s="92" t="s">
        <v>275</v>
      </c>
      <c r="N1" s="92" t="s">
        <v>372</v>
      </c>
      <c r="O1" s="92" t="s">
        <v>373</v>
      </c>
      <c r="P1" s="92" t="s">
        <v>374</v>
      </c>
      <c r="R1" s="95" t="s">
        <v>111</v>
      </c>
      <c r="S1" s="96" t="s">
        <v>112</v>
      </c>
      <c r="T1" s="96" t="s">
        <v>113</v>
      </c>
      <c r="U1" s="96" t="s">
        <v>114</v>
      </c>
      <c r="V1" s="97" t="s">
        <v>115</v>
      </c>
      <c r="X1" s="3" t="s">
        <v>211</v>
      </c>
      <c r="Y1" s="3" t="s">
        <v>111</v>
      </c>
      <c r="Z1" s="3" t="s">
        <v>212</v>
      </c>
      <c r="AA1" s="3" t="s">
        <v>213</v>
      </c>
      <c r="AB1" s="3" t="s">
        <v>214</v>
      </c>
    </row>
    <row r="2" spans="1:28" ht="15.75" x14ac:dyDescent="0.25">
      <c r="A2" s="83" t="s">
        <v>469</v>
      </c>
      <c r="B2" s="84" t="s">
        <v>277</v>
      </c>
      <c r="C2" s="85" t="s">
        <v>279</v>
      </c>
      <c r="D2" s="86">
        <v>317791</v>
      </c>
      <c r="E2" s="87"/>
      <c r="F2" s="87">
        <v>10</v>
      </c>
      <c r="G2" s="87">
        <v>1500</v>
      </c>
      <c r="H2" s="87">
        <v>300</v>
      </c>
      <c r="I2" s="98">
        <f>IF(PowerUnits[[#This Row],[List Price]]&gt;1,PowerUnits[[#This Row],[List Price]],IF(C2="",0,PowerUnits[[#This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317791</v>
      </c>
      <c r="J2" s="99">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3.1461309000000015</v>
      </c>
      <c r="K2" s="98">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87959.338176412697</v>
      </c>
      <c r="L2" s="98">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79674.011818729225</v>
      </c>
      <c r="M2" s="99">
        <f>IF(PowerUnits[[#This Row],[Est. Hours per Year]]=0,0,(PowerUnits[[#This Row],[Calculated Beg Yr. Value]]-PowerUnits[[#This Row],[Calculated End Yr. Value]])/PowerUnits[[#This Row],[Est. Hours per Year]])</f>
        <v>27.617754525611574</v>
      </c>
      <c r="N2" s="99">
        <f>IF(PowerUnits[[#This Row],[Est. Hours per Year]]=0,0,PowerUnits[[#This Row],[Calculated Beg Yr. Value]]*'General Variables'!$B$9/PowerUnits[[#This Row],[Est. Hours per Year]])</f>
        <v>5.8639558784275136</v>
      </c>
      <c r="O2" s="99">
        <f>IF(PowerUnits[[#This Row],[Est. Hours per Year]]=0,0,PowerUnits[[#This Row],[Calculated Beg Yr. Value]]*'General Variables'!$B$10/PowerUnits[[#This Row],[Est. Hours per Year]])</f>
        <v>11.727911756855027</v>
      </c>
      <c r="P2" s="99">
        <f>SUM(PowerUnits[[#This Row],[Depreciation per Hour]:[Opportunity Cost per Hour]])</f>
        <v>45.209622160894114</v>
      </c>
      <c r="R2" s="100" t="s">
        <v>116</v>
      </c>
      <c r="S2" s="101" t="s">
        <v>117</v>
      </c>
      <c r="T2" s="102" t="s">
        <v>118</v>
      </c>
      <c r="U2" s="102" t="s">
        <v>119</v>
      </c>
      <c r="V2" s="103">
        <v>12000</v>
      </c>
      <c r="X2" s="3" t="s">
        <v>215</v>
      </c>
      <c r="Y2" s="3" t="s">
        <v>216</v>
      </c>
      <c r="Z2" s="3" t="s">
        <v>217</v>
      </c>
      <c r="AA2" s="3" t="s">
        <v>218</v>
      </c>
      <c r="AB2" s="3" t="s">
        <v>219</v>
      </c>
    </row>
    <row r="3" spans="1:28" ht="15.75" x14ac:dyDescent="0.25">
      <c r="A3" s="83" t="s">
        <v>470</v>
      </c>
      <c r="B3" s="84" t="s">
        <v>116</v>
      </c>
      <c r="C3" s="85" t="s">
        <v>279</v>
      </c>
      <c r="D3" s="86">
        <v>213972</v>
      </c>
      <c r="E3" s="87"/>
      <c r="F3" s="87">
        <v>5</v>
      </c>
      <c r="G3" s="87">
        <v>2500</v>
      </c>
      <c r="H3" s="87">
        <v>500</v>
      </c>
      <c r="I3" s="98">
        <f>IF(PowerUnits[[#This Row],[List Price]]&gt;1,PowerUnits[[#This Row],[List Price]],IF(C3="",0,PowerUnits[[#This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213972</v>
      </c>
      <c r="J3" s="99">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8.2379219999999993</v>
      </c>
      <c r="K3" s="98">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80905.324934671822</v>
      </c>
      <c r="L3" s="98">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72090.286697143063</v>
      </c>
      <c r="M3" s="99">
        <f>IF(PowerUnits[[#This Row],[Est. Hours per Year]]=0,0,(PowerUnits[[#This Row],[Calculated Beg Yr. Value]]-PowerUnits[[#This Row],[Calculated End Yr. Value]])/PowerUnits[[#This Row],[Est. Hours per Year]])</f>
        <v>17.630076475057518</v>
      </c>
      <c r="N3" s="99">
        <f>IF(PowerUnits[[#This Row],[Est. Hours per Year]]=0,0,PowerUnits[[#This Row],[Calculated Beg Yr. Value]]*'General Variables'!$B$9/PowerUnits[[#This Row],[Est. Hours per Year]])</f>
        <v>3.2362129973868727</v>
      </c>
      <c r="O3" s="99">
        <f>IF(PowerUnits[[#This Row],[Est. Hours per Year]]=0,0,PowerUnits[[#This Row],[Calculated Beg Yr. Value]]*'General Variables'!$B$10/PowerUnits[[#This Row],[Est. Hours per Year]])</f>
        <v>6.4724259947737455</v>
      </c>
      <c r="P3" s="99">
        <f>SUM(PowerUnits[[#This Row],[Depreciation per Hour]:[Opportunity Cost per Hour]])</f>
        <v>27.338715467218137</v>
      </c>
      <c r="R3" s="104" t="s">
        <v>120</v>
      </c>
      <c r="S3" s="104" t="s">
        <v>117</v>
      </c>
      <c r="T3" s="105" t="s">
        <v>121</v>
      </c>
      <c r="U3" s="105" t="s">
        <v>119</v>
      </c>
      <c r="V3" s="106">
        <v>16000</v>
      </c>
      <c r="X3" s="3" t="s">
        <v>215</v>
      </c>
      <c r="Y3" s="3" t="s">
        <v>220</v>
      </c>
      <c r="Z3" s="3" t="s">
        <v>221</v>
      </c>
      <c r="AA3" s="3" t="s">
        <v>222</v>
      </c>
      <c r="AB3" s="3" t="s">
        <v>223</v>
      </c>
    </row>
    <row r="4" spans="1:28" ht="15.75" x14ac:dyDescent="0.25">
      <c r="A4" s="83" t="s">
        <v>271</v>
      </c>
      <c r="B4" s="84" t="s">
        <v>278</v>
      </c>
      <c r="C4" s="85" t="s">
        <v>276</v>
      </c>
      <c r="D4" s="86">
        <v>317791</v>
      </c>
      <c r="E4" s="87"/>
      <c r="F4" s="87">
        <v>10</v>
      </c>
      <c r="G4" s="87">
        <v>1500</v>
      </c>
      <c r="H4" s="87">
        <v>300</v>
      </c>
      <c r="I4" s="98">
        <f>IF(PowerUnits[[#This Row],[List Price]]&gt;1,PowerUnits[[#This Row],[List Price]],IF(C4="",0,PowerUnits[[#This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317791</v>
      </c>
      <c r="J4" s="99">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46.314722056275833</v>
      </c>
      <c r="K4" s="98">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29418.941200367502</v>
      </c>
      <c r="L4" s="98">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19796.573343074626</v>
      </c>
      <c r="M4" s="99">
        <f>IF(PowerUnits[[#This Row],[Est. Hours per Year]]=0,0,(PowerUnits[[#This Row],[Calculated Beg Yr. Value]]-PowerUnits[[#This Row],[Calculated End Yr. Value]])/PowerUnits[[#This Row],[Est. Hours per Year]])</f>
        <v>32.074559524309592</v>
      </c>
      <c r="N4" s="99">
        <f>IF(PowerUnits[[#This Row],[Est. Hours per Year]]=0,0,PowerUnits[[#This Row],[Calculated Beg Yr. Value]]*'General Variables'!$B$9/PowerUnits[[#This Row],[Est. Hours per Year]])</f>
        <v>1.961262746691167</v>
      </c>
      <c r="O4" s="99">
        <f>IF(PowerUnits[[#This Row],[Est. Hours per Year]]=0,0,PowerUnits[[#This Row],[Calculated Beg Yr. Value]]*'General Variables'!$B$10/PowerUnits[[#This Row],[Est. Hours per Year]])</f>
        <v>3.9225254933823339</v>
      </c>
      <c r="P4" s="99">
        <f>SUM(PowerUnits[[#This Row],[Depreciation per Hour]:[Opportunity Cost per Hour]])</f>
        <v>37.958347764383092</v>
      </c>
      <c r="R4" s="104" t="s">
        <v>142</v>
      </c>
      <c r="S4" s="104" t="s">
        <v>123</v>
      </c>
      <c r="T4" s="105" t="s">
        <v>143</v>
      </c>
      <c r="U4" s="105" t="s">
        <v>144</v>
      </c>
      <c r="V4" s="106">
        <v>3000</v>
      </c>
      <c r="X4" s="3" t="s">
        <v>215</v>
      </c>
      <c r="Y4" s="3" t="s">
        <v>224</v>
      </c>
      <c r="Z4" s="3" t="s">
        <v>225</v>
      </c>
      <c r="AA4" s="3" t="s">
        <v>226</v>
      </c>
      <c r="AB4" s="3" t="s">
        <v>227</v>
      </c>
    </row>
    <row r="5" spans="1:28" ht="15.75" x14ac:dyDescent="0.25">
      <c r="A5" s="83" t="s">
        <v>332</v>
      </c>
      <c r="B5" s="84" t="s">
        <v>116</v>
      </c>
      <c r="C5" s="85" t="s">
        <v>435</v>
      </c>
      <c r="D5" s="86">
        <v>15000</v>
      </c>
      <c r="E5" s="88"/>
      <c r="F5" s="87">
        <v>10</v>
      </c>
      <c r="G5" s="87">
        <v>2400</v>
      </c>
      <c r="H5" s="87">
        <v>800</v>
      </c>
      <c r="I5" s="98">
        <f>IF(PowerUnits[[#This Row],[List Price]]&gt;1,PowerUnits[[#This Row],[List Price]],IF(C5="",0,PowerUnits[[#This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15000</v>
      </c>
      <c r="J5" s="99">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0.58800000000000041</v>
      </c>
      <c r="K5" s="98">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5161.1484515032271</v>
      </c>
      <c r="L5" s="98">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4789.7766466734492</v>
      </c>
      <c r="M5" s="99">
        <f>IF(PowerUnits[[#This Row],[Est. Hours per Year]]=0,0,(PowerUnits[[#This Row],[Calculated Beg Yr. Value]]-PowerUnits[[#This Row],[Calculated End Yr. Value]])/PowerUnits[[#This Row],[Est. Hours per Year]])</f>
        <v>0.46421475603722229</v>
      </c>
      <c r="N5" s="99">
        <f>IF(PowerUnits[[#This Row],[Est. Hours per Year]]=0,0,PowerUnits[[#This Row],[Calculated Beg Yr. Value]]*'General Variables'!$B$9/PowerUnits[[#This Row],[Est. Hours per Year]])</f>
        <v>0.12902871128758067</v>
      </c>
      <c r="O5" s="99">
        <f>IF(PowerUnits[[#This Row],[Est. Hours per Year]]=0,0,PowerUnits[[#This Row],[Calculated Beg Yr. Value]]*'General Variables'!$B$10/PowerUnits[[#This Row],[Est. Hours per Year]])</f>
        <v>0.25805742257516134</v>
      </c>
      <c r="P5" s="99">
        <f>SUM(PowerUnits[[#This Row],[Depreciation per Hour]:[Opportunity Cost per Hour]])</f>
        <v>0.85130088989996433</v>
      </c>
      <c r="R5" s="104" t="s">
        <v>147</v>
      </c>
      <c r="S5" s="104" t="s">
        <v>123</v>
      </c>
      <c r="T5" s="105" t="s">
        <v>148</v>
      </c>
      <c r="U5" s="105" t="s">
        <v>125</v>
      </c>
      <c r="V5" s="106">
        <v>3000</v>
      </c>
      <c r="X5" s="3" t="s">
        <v>228</v>
      </c>
      <c r="Y5" s="3" t="s">
        <v>229</v>
      </c>
      <c r="Z5" s="3" t="s">
        <v>230</v>
      </c>
      <c r="AA5" s="3" t="s">
        <v>231</v>
      </c>
      <c r="AB5" s="3" t="s">
        <v>232</v>
      </c>
    </row>
    <row r="6" spans="1:28" ht="15.75" x14ac:dyDescent="0.25">
      <c r="A6" s="83" t="s">
        <v>334</v>
      </c>
      <c r="B6" s="84" t="s">
        <v>272</v>
      </c>
      <c r="C6" s="85" t="s">
        <v>333</v>
      </c>
      <c r="D6" s="86">
        <v>10000</v>
      </c>
      <c r="E6" s="87"/>
      <c r="F6" s="87">
        <v>5</v>
      </c>
      <c r="G6" s="87">
        <v>2400</v>
      </c>
      <c r="H6" s="87">
        <v>800</v>
      </c>
      <c r="I6" s="98">
        <f>IF(PowerUnits[[#This Row],[List Price]]&gt;1,PowerUnits[[#This Row],[List Price]],IF(C6="",0,PowerUnits[[#This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10000</v>
      </c>
      <c r="J6" s="99">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0.50156750251008531</v>
      </c>
      <c r="K6" s="98">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2390.2796988532896</v>
      </c>
      <c r="L6" s="98">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1807.0993131451412</v>
      </c>
      <c r="M6" s="99">
        <f>IF(PowerUnits[[#This Row],[Est. Hours per Year]]=0,0,(PowerUnits[[#This Row],[Calculated Beg Yr. Value]]-PowerUnits[[#This Row],[Calculated End Yr. Value]])/PowerUnits[[#This Row],[Est. Hours per Year]])</f>
        <v>0.72897548213518548</v>
      </c>
      <c r="N6" s="99">
        <f>IF(PowerUnits[[#This Row],[Est. Hours per Year]]=0,0,PowerUnits[[#This Row],[Calculated Beg Yr. Value]]*'General Variables'!$B$9/PowerUnits[[#This Row],[Est. Hours per Year]])</f>
        <v>5.9756992471332239E-2</v>
      </c>
      <c r="O6" s="99">
        <f>IF(PowerUnits[[#This Row],[Est. Hours per Year]]=0,0,PowerUnits[[#This Row],[Calculated Beg Yr. Value]]*'General Variables'!$B$10/PowerUnits[[#This Row],[Est. Hours per Year]])</f>
        <v>0.11951398494266448</v>
      </c>
      <c r="P6" s="99">
        <f>SUM(PowerUnits[[#This Row],[Depreciation per Hour]:[Opportunity Cost per Hour]])</f>
        <v>0.90824645954918226</v>
      </c>
      <c r="R6" s="104" t="s">
        <v>167</v>
      </c>
      <c r="S6" s="104" t="s">
        <v>123</v>
      </c>
      <c r="T6" s="105" t="s">
        <v>168</v>
      </c>
      <c r="U6" s="105" t="s">
        <v>119</v>
      </c>
      <c r="V6" s="106">
        <v>4000</v>
      </c>
      <c r="X6" s="3" t="s">
        <v>228</v>
      </c>
      <c r="Y6" s="3" t="s">
        <v>239</v>
      </c>
      <c r="Z6" s="3" t="s">
        <v>240</v>
      </c>
      <c r="AA6" s="3" t="s">
        <v>241</v>
      </c>
      <c r="AB6" s="3"/>
    </row>
    <row r="7" spans="1:28" ht="15.75" x14ac:dyDescent="0.25">
      <c r="A7" s="83" t="s">
        <v>400</v>
      </c>
      <c r="B7" s="84" t="s">
        <v>116</v>
      </c>
      <c r="C7" s="85" t="s">
        <v>333</v>
      </c>
      <c r="D7" s="86">
        <v>15000</v>
      </c>
      <c r="E7" s="88"/>
      <c r="F7" s="87">
        <v>10</v>
      </c>
      <c r="G7" s="87">
        <v>2400</v>
      </c>
      <c r="H7" s="87">
        <v>800</v>
      </c>
      <c r="I7" s="98">
        <f>IF(PowerUnits[[#This Row],[List Price]]&gt;1,PowerUnits[[#This Row],[List Price]],IF(C7="",0,PowerUnits[[#This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15000</v>
      </c>
      <c r="J7" s="99">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0.58800000000000041</v>
      </c>
      <c r="K7" s="98">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2433.3232841362474</v>
      </c>
      <c r="L7" s="98">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1779.7526354351601</v>
      </c>
      <c r="M7" s="99">
        <f>IF(PowerUnits[[#This Row],[Est. Hours per Year]]=0,0,(PowerUnits[[#This Row],[Calculated Beg Yr. Value]]-PowerUnits[[#This Row],[Calculated End Yr. Value]])/PowerUnits[[#This Row],[Est. Hours per Year]])</f>
        <v>0.81696331087635909</v>
      </c>
      <c r="N7" s="99">
        <f>IF(PowerUnits[[#This Row],[Est. Hours per Year]]=0,0,PowerUnits[[#This Row],[Calculated Beg Yr. Value]]*'General Variables'!$B$9/PowerUnits[[#This Row],[Est. Hours per Year]])</f>
        <v>6.0833082103406183E-2</v>
      </c>
      <c r="O7" s="99">
        <f>IF(PowerUnits[[#This Row],[Est. Hours per Year]]=0,0,PowerUnits[[#This Row],[Calculated Beg Yr. Value]]*'General Variables'!$B$10/PowerUnits[[#This Row],[Est. Hours per Year]])</f>
        <v>0.12166616420681237</v>
      </c>
      <c r="P7" s="99">
        <f>SUM(PowerUnits[[#This Row],[Depreciation per Hour]:[Opportunity Cost per Hour]])</f>
        <v>0.99946255718657762</v>
      </c>
      <c r="R7" s="104" t="s">
        <v>196</v>
      </c>
      <c r="S7" s="104" t="s">
        <v>123</v>
      </c>
      <c r="T7" s="105" t="s">
        <v>197</v>
      </c>
      <c r="U7" s="105" t="s">
        <v>119</v>
      </c>
      <c r="V7" s="106">
        <v>3000</v>
      </c>
      <c r="X7" s="3" t="s">
        <v>249</v>
      </c>
      <c r="Y7" s="3" t="s">
        <v>250</v>
      </c>
      <c r="Z7" s="3" t="s">
        <v>251</v>
      </c>
      <c r="AA7" s="3" t="s">
        <v>252</v>
      </c>
      <c r="AB7" s="3" t="s">
        <v>253</v>
      </c>
    </row>
    <row r="8" spans="1:28" ht="15.75" x14ac:dyDescent="0.25">
      <c r="A8" s="83" t="s">
        <v>330</v>
      </c>
      <c r="B8" s="84" t="s">
        <v>471</v>
      </c>
      <c r="C8" s="85" t="s">
        <v>331</v>
      </c>
      <c r="D8" s="86">
        <v>113989</v>
      </c>
      <c r="E8" s="87"/>
      <c r="F8" s="87">
        <v>10</v>
      </c>
      <c r="G8" s="87">
        <v>2500</v>
      </c>
      <c r="H8" s="87">
        <v>120</v>
      </c>
      <c r="I8" s="98">
        <f>IF(PowerUnits[[#This Row],[List Price]]&gt;1,PowerUnits[[#This Row],[List Price]],IF(C8="",0,PowerUnits[[#This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113989</v>
      </c>
      <c r="J8" s="99">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17.50871040000002</v>
      </c>
      <c r="K8" s="98">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28866.937242481385</v>
      </c>
      <c r="L8" s="98">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27278.030715436344</v>
      </c>
      <c r="M8" s="99">
        <f>IF(PowerUnits[[#This Row],[Est. Hours per Year]]=0,0,(PowerUnits[[#This Row],[Calculated Beg Yr. Value]]-PowerUnits[[#This Row],[Calculated End Yr. Value]])/PowerUnits[[#This Row],[Est. Hours per Year]])</f>
        <v>13.240887725375341</v>
      </c>
      <c r="N8" s="99">
        <f>IF(PowerUnits[[#This Row],[Est. Hours per Year]]=0,0,PowerUnits[[#This Row],[Calculated Beg Yr. Value]]*'General Variables'!$B$9/PowerUnits[[#This Row],[Est. Hours per Year]])</f>
        <v>4.8111562070802307</v>
      </c>
      <c r="O8" s="99">
        <f>IF(PowerUnits[[#This Row],[Est. Hours per Year]]=0,0,PowerUnits[[#This Row],[Calculated Beg Yr. Value]]*'General Variables'!$B$10/PowerUnits[[#This Row],[Est. Hours per Year]])</f>
        <v>9.6223124141604615</v>
      </c>
      <c r="P8" s="99">
        <f>SUM(PowerUnits[[#This Row],[Depreciation per Hour]:[Opportunity Cost per Hour]])</f>
        <v>27.674356346616033</v>
      </c>
      <c r="R8" s="3" t="s">
        <v>272</v>
      </c>
      <c r="S8" s="3" t="s">
        <v>199</v>
      </c>
      <c r="T8" s="4">
        <v>0.02</v>
      </c>
      <c r="U8" s="4">
        <v>1.5</v>
      </c>
      <c r="V8" s="6"/>
    </row>
    <row r="9" spans="1:28" x14ac:dyDescent="0.2">
      <c r="A9" s="83" t="s">
        <v>458</v>
      </c>
      <c r="B9" s="84"/>
      <c r="C9" s="85"/>
      <c r="D9" s="86"/>
      <c r="E9" s="87"/>
      <c r="F9" s="87"/>
      <c r="G9" s="87"/>
      <c r="H9" s="87"/>
      <c r="I9" s="98">
        <f>IF(PowerUnits[[#This Row],[List Price]]&gt;1,PowerUnits[[#This Row],[List Price]],IF(C9="",0,PowerUnits[[#This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0</v>
      </c>
      <c r="J9" s="99">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0</v>
      </c>
      <c r="K9" s="98">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0</v>
      </c>
      <c r="L9" s="98">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0</v>
      </c>
      <c r="M9" s="99">
        <f>IF(PowerUnits[[#This Row],[Est. Hours per Year]]=0,0,(PowerUnits[[#This Row],[Calculated Beg Yr. Value]]-PowerUnits[[#This Row],[Calculated End Yr. Value]])/PowerUnits[[#This Row],[Est. Hours per Year]])</f>
        <v>0</v>
      </c>
      <c r="N9" s="99">
        <f>IF(PowerUnits[[#This Row],[Est. Hours per Year]]=0,0,PowerUnits[[#This Row],[Calculated Beg Yr. Value]]*'General Variables'!$B$9/PowerUnits[[#This Row],[Est. Hours per Year]])</f>
        <v>0</v>
      </c>
      <c r="O9" s="99">
        <f>IF(PowerUnits[[#This Row],[Est. Hours per Year]]=0,0,PowerUnits[[#This Row],[Calculated Beg Yr. Value]]*'General Variables'!$B$10/PowerUnits[[#This Row],[Est. Hours per Year]])</f>
        <v>0</v>
      </c>
      <c r="P9" s="99">
        <f>SUM(PowerUnits[[#This Row],[Depreciation per Hour]:[Opportunity Cost per Hour]])</f>
        <v>0</v>
      </c>
    </row>
    <row r="10" spans="1:28" x14ac:dyDescent="0.2">
      <c r="A10" s="83"/>
      <c r="B10" s="84"/>
      <c r="C10" s="85"/>
      <c r="D10" s="86"/>
      <c r="E10" s="87"/>
      <c r="F10" s="87"/>
      <c r="G10" s="87"/>
      <c r="H10" s="87"/>
      <c r="I10" s="98">
        <f>IF(PowerUnits[[#This Row],[List Price]]&gt;1,PowerUnits[[#This Row],[List Price]],IF(C10="",0,PowerUnits[[#This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0</v>
      </c>
      <c r="J10" s="99">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0</v>
      </c>
      <c r="K10" s="98">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0</v>
      </c>
      <c r="L10" s="98">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0</v>
      </c>
      <c r="M10" s="99">
        <f>IF(PowerUnits[[#This Row],[Est. Hours per Year]]=0,0,(PowerUnits[[#This Row],[Calculated Beg Yr. Value]]-PowerUnits[[#This Row],[Calculated End Yr. Value]])/PowerUnits[[#This Row],[Est. Hours per Year]])</f>
        <v>0</v>
      </c>
      <c r="N10" s="99">
        <f>IF(PowerUnits[[#This Row],[Est. Hours per Year]]=0,0,PowerUnits[[#This Row],[Calculated Beg Yr. Value]]*'General Variables'!$B$9/PowerUnits[[#This Row],[Est. Hours per Year]])</f>
        <v>0</v>
      </c>
      <c r="O10" s="99">
        <f>IF(PowerUnits[[#This Row],[Est. Hours per Year]]=0,0,PowerUnits[[#This Row],[Calculated Beg Yr. Value]]*'General Variables'!$B$10/PowerUnits[[#This Row],[Est. Hours per Year]])</f>
        <v>0</v>
      </c>
      <c r="P10" s="99">
        <f>SUM(PowerUnits[[#This Row],[Depreciation per Hour]:[Opportunity Cost per Hour]])</f>
        <v>0</v>
      </c>
    </row>
    <row r="11" spans="1:28" x14ac:dyDescent="0.2">
      <c r="A11" s="83"/>
      <c r="B11" s="84"/>
      <c r="C11" s="85"/>
      <c r="D11" s="86"/>
      <c r="E11" s="87"/>
      <c r="F11" s="87"/>
      <c r="G11" s="87"/>
      <c r="H11" s="87"/>
      <c r="I11" s="98">
        <f>IF(PowerUnits[[#This Row],[List Price]]&gt;1,PowerUnits[[#This Row],[List Price]],IF(C11="",0,PowerUnits[[#This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0</v>
      </c>
      <c r="J11" s="99">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0</v>
      </c>
      <c r="K11" s="98">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0</v>
      </c>
      <c r="L11" s="98">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0</v>
      </c>
      <c r="M11" s="99">
        <f>IF(PowerUnits[[#This Row],[Est. Hours per Year]]=0,0,(PowerUnits[[#This Row],[Calculated Beg Yr. Value]]-PowerUnits[[#This Row],[Calculated End Yr. Value]])/PowerUnits[[#This Row],[Est. Hours per Year]])</f>
        <v>0</v>
      </c>
      <c r="N11" s="99">
        <f>IF(PowerUnits[[#This Row],[Est. Hours per Year]]=0,0,PowerUnits[[#This Row],[Calculated Beg Yr. Value]]*'General Variables'!$B$9/PowerUnits[[#This Row],[Est. Hours per Year]])</f>
        <v>0</v>
      </c>
      <c r="O11" s="99">
        <f>IF(PowerUnits[[#This Row],[Est. Hours per Year]]=0,0,PowerUnits[[#This Row],[Calculated Beg Yr. Value]]*'General Variables'!$B$10/PowerUnits[[#This Row],[Est. Hours per Year]])</f>
        <v>0</v>
      </c>
      <c r="P11" s="99">
        <f>SUM(PowerUnits[[#This Row],[Depreciation per Hour]:[Opportunity Cost per Hour]])</f>
        <v>0</v>
      </c>
    </row>
    <row r="12" spans="1:28" x14ac:dyDescent="0.2">
      <c r="A12" s="83"/>
      <c r="B12" s="84"/>
      <c r="C12" s="85"/>
      <c r="D12" s="86"/>
      <c r="E12" s="87"/>
      <c r="F12" s="87"/>
      <c r="G12" s="87"/>
      <c r="H12" s="87"/>
      <c r="I12" s="98">
        <f>IF(PowerUnits[[#This Row],[List Price]]&gt;1,PowerUnits[[#This Row],[List Price]],IF(C12="",0,PowerUnits[[#This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0</v>
      </c>
      <c r="J12" s="99">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0</v>
      </c>
      <c r="K12" s="98">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0</v>
      </c>
      <c r="L12" s="98">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0</v>
      </c>
      <c r="M12" s="99">
        <f>IF(PowerUnits[[#This Row],[Est. Hours per Year]]=0,0,(PowerUnits[[#This Row],[Calculated Beg Yr. Value]]-PowerUnits[[#This Row],[Calculated End Yr. Value]])/PowerUnits[[#This Row],[Est. Hours per Year]])</f>
        <v>0</v>
      </c>
      <c r="N12" s="99">
        <f>IF(PowerUnits[[#This Row],[Est. Hours per Year]]=0,0,PowerUnits[[#This Row],[Calculated Beg Yr. Value]]*'General Variables'!$B$9/PowerUnits[[#This Row],[Est. Hours per Year]])</f>
        <v>0</v>
      </c>
      <c r="O12" s="99">
        <f>IF(PowerUnits[[#This Row],[Est. Hours per Year]]=0,0,PowerUnits[[#This Row],[Calculated Beg Yr. Value]]*'General Variables'!$B$10/PowerUnits[[#This Row],[Est. Hours per Year]])</f>
        <v>0</v>
      </c>
      <c r="P12" s="99">
        <f>SUM(PowerUnits[[#This Row],[Depreciation per Hour]:[Opportunity Cost per Hour]])</f>
        <v>0</v>
      </c>
    </row>
    <row r="13" spans="1:28" ht="15.75" customHeight="1" x14ac:dyDescent="0.2"/>
  </sheetData>
  <dataValidations count="2">
    <dataValidation type="list" allowBlank="1" showInputMessage="1" showErrorMessage="1" sqref="B2:B12">
      <formula1>$R$2:$R$8</formula1>
    </dataValidation>
    <dataValidation type="list" allowBlank="1" showInputMessage="1" showErrorMessage="1" sqref="C2:C12">
      <formula1>$Y$2:$Y$7</formula1>
    </dataValidation>
  </dataValidations>
  <pageMargins left="0.7" right="0.7" top="0.75" bottom="0.75" header="0.3" footer="0.3"/>
  <pageSetup orientation="portrait" r:id="rId1"/>
  <legacyDrawing r:id="rId2"/>
  <tableParts count="3">
    <tablePart r:id="rId3"/>
    <tablePart r:id="rId4"/>
    <tablePart r:id="rId5"/>
  </tablePar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04">
    <pageSetUpPr fitToPage="1"/>
  </sheetPr>
  <dimension ref="A1:AO102"/>
  <sheetViews>
    <sheetView workbookViewId="0">
      <selection sqref="A1:I1"/>
    </sheetView>
  </sheetViews>
  <sheetFormatPr defaultRowHeight="12.75" x14ac:dyDescent="0.2"/>
  <cols>
    <col min="1" max="1" width="44" style="117" customWidth="1"/>
    <col min="2" max="2" width="14.5703125" style="134" customWidth="1"/>
    <col min="3" max="3" width="17.85546875" style="134" customWidth="1"/>
    <col min="4" max="4" width="23.42578125" style="134" customWidth="1"/>
    <col min="5" max="6" width="11.5703125" style="117" customWidth="1"/>
    <col min="7" max="7" width="9" style="117" customWidth="1"/>
    <col min="8" max="8" width="10.5703125" style="117" customWidth="1"/>
    <col min="9" max="9" width="13.28515625" style="117" customWidth="1"/>
    <col min="10" max="10" width="11.5703125" style="117" customWidth="1"/>
    <col min="11" max="11" width="17.85546875" style="117" customWidth="1"/>
    <col min="12" max="12" width="10" style="117" customWidth="1"/>
    <col min="13" max="13" width="7.85546875" style="117" customWidth="1"/>
    <col min="14" max="15" width="12.7109375" style="117" customWidth="1"/>
    <col min="16" max="16" width="11.42578125" style="117" customWidth="1"/>
    <col min="17" max="18" width="13.7109375" style="117" customWidth="1"/>
    <col min="19" max="19" width="9.140625" style="133"/>
    <col min="20" max="20" width="11.5703125" style="133" customWidth="1"/>
    <col min="21" max="21" width="10.7109375" style="133" customWidth="1"/>
    <col min="22" max="22" width="9.140625" style="117"/>
    <col min="23" max="23" width="32.85546875" style="117" bestFit="1" customWidth="1"/>
    <col min="24" max="24" width="20.42578125" style="117" bestFit="1" customWidth="1"/>
    <col min="25" max="26" width="6.7109375" style="117" customWidth="1"/>
    <col min="27" max="27" width="11" style="117" bestFit="1" customWidth="1"/>
    <col min="28" max="29" width="9.140625" style="117"/>
    <col min="30" max="30" width="28.140625" style="117" customWidth="1"/>
    <col min="31" max="31" width="40.5703125" style="117" bestFit="1" customWidth="1"/>
    <col min="32" max="33" width="6.7109375" style="117" customWidth="1"/>
    <col min="34" max="34" width="7.85546875" style="117" customWidth="1"/>
    <col min="35" max="36" width="9.140625" style="117"/>
    <col min="37" max="37" width="19.5703125" style="117" bestFit="1" customWidth="1"/>
    <col min="38" max="38" width="9.85546875" style="117" bestFit="1" customWidth="1"/>
    <col min="39" max="39" width="29.7109375" style="117" customWidth="1"/>
    <col min="40" max="16384" width="9.140625" style="117"/>
  </cols>
  <sheetData>
    <row r="1" spans="1:41" s="110" customFormat="1" ht="44.25" customHeight="1" x14ac:dyDescent="0.2">
      <c r="A1" s="107" t="s">
        <v>0</v>
      </c>
      <c r="B1" s="108" t="s">
        <v>77</v>
      </c>
      <c r="C1" s="108" t="s">
        <v>107</v>
      </c>
      <c r="D1" s="108" t="s">
        <v>108</v>
      </c>
      <c r="E1" s="108" t="s">
        <v>104</v>
      </c>
      <c r="F1" s="108" t="s">
        <v>375</v>
      </c>
      <c r="G1" s="108" t="s">
        <v>105</v>
      </c>
      <c r="H1" s="108" t="s">
        <v>329</v>
      </c>
      <c r="I1" s="108" t="s">
        <v>360</v>
      </c>
      <c r="J1" s="108" t="s">
        <v>110</v>
      </c>
      <c r="K1" s="108" t="s">
        <v>270</v>
      </c>
      <c r="L1" s="108" t="s">
        <v>363</v>
      </c>
      <c r="M1" s="108" t="s">
        <v>364</v>
      </c>
      <c r="N1" s="108" t="s">
        <v>362</v>
      </c>
      <c r="O1" s="109" t="s">
        <v>377</v>
      </c>
      <c r="P1" s="109" t="s">
        <v>361</v>
      </c>
      <c r="Q1" s="109" t="s">
        <v>376</v>
      </c>
      <c r="R1" s="109" t="s">
        <v>378</v>
      </c>
      <c r="S1" s="109" t="s">
        <v>379</v>
      </c>
      <c r="T1" s="109" t="s">
        <v>380</v>
      </c>
      <c r="U1" s="109" t="s">
        <v>381</v>
      </c>
      <c r="W1" s="9" t="s">
        <v>111</v>
      </c>
      <c r="X1" s="111" t="s">
        <v>112</v>
      </c>
      <c r="Y1" s="112" t="s">
        <v>113</v>
      </c>
      <c r="Z1" s="112" t="s">
        <v>114</v>
      </c>
      <c r="AA1" s="113" t="s">
        <v>115</v>
      </c>
      <c r="AD1" s="10" t="s">
        <v>266</v>
      </c>
      <c r="AE1" s="10" t="s">
        <v>111</v>
      </c>
      <c r="AF1" s="10" t="s">
        <v>267</v>
      </c>
      <c r="AG1" s="10" t="s">
        <v>268</v>
      </c>
      <c r="AH1" s="10" t="s">
        <v>269</v>
      </c>
      <c r="AK1" s="307" t="s">
        <v>261</v>
      </c>
      <c r="AL1" s="307"/>
      <c r="AM1" s="307"/>
      <c r="AO1" s="114" t="s">
        <v>280</v>
      </c>
    </row>
    <row r="2" spans="1:41" ht="12.75" customHeight="1" x14ac:dyDescent="0.25">
      <c r="A2" s="135" t="s">
        <v>17</v>
      </c>
      <c r="B2" s="136" t="s">
        <v>3</v>
      </c>
      <c r="C2" s="137"/>
      <c r="D2" s="137"/>
      <c r="E2" s="138"/>
      <c r="F2" s="139"/>
      <c r="G2" s="138"/>
      <c r="H2" s="138"/>
      <c r="I2" s="140"/>
      <c r="J2" s="141"/>
      <c r="K2" s="137"/>
      <c r="L2" s="139"/>
      <c r="M2" s="142"/>
      <c r="N2" s="9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2" s="11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2" s="9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2" s="9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2" s="115">
        <f>IF(Operations[[#This Row],[Calc List Price]]=0,0,IF(Operations[[#This Row],[Units per Hour]]*Operations[[#This Row],[Annual Use]]=0,0,(Operations[[#This Row],[Calc Beg Yr. Value]]-Operations[[#This Row],[Calc End Yr. Value]])/(Operations[[#This Row],[Annual Use]])))</f>
        <v>0</v>
      </c>
      <c r="S2" s="116">
        <f>IF(Operations[[#This Row],[Annual Use]]=0,0,Operations[[#This Row],[Calc Beg Yr. Value]]*'General Variables'!$B$9/Operations[[#This Row],[Annual Use]])</f>
        <v>0</v>
      </c>
      <c r="T2" s="116">
        <f>IF(Operations[[#This Row],[Annual Use]]=0,0,Operations[[#This Row],[Calc Beg Yr. Value]]*'General Variables'!$B$10/Operations[[#This Row],[Annual Use]])</f>
        <v>0</v>
      </c>
      <c r="U2" s="116">
        <f>SUM(Operations[[#This Row],[Depreciation per Unit]:[Opportunity Cost per Unit]])</f>
        <v>0</v>
      </c>
      <c r="W2" s="3" t="s">
        <v>122</v>
      </c>
      <c r="X2" s="3" t="s">
        <v>123</v>
      </c>
      <c r="Y2" s="4" t="s">
        <v>124</v>
      </c>
      <c r="Z2" s="4" t="s">
        <v>125</v>
      </c>
      <c r="AA2" s="6">
        <v>3000</v>
      </c>
      <c r="AD2" s="3" t="s">
        <v>228</v>
      </c>
      <c r="AE2" s="3" t="s">
        <v>229</v>
      </c>
      <c r="AF2" s="3" t="s">
        <v>230</v>
      </c>
      <c r="AG2" s="3" t="s">
        <v>231</v>
      </c>
      <c r="AH2" s="3">
        <v>0</v>
      </c>
      <c r="AK2" s="307"/>
      <c r="AL2" s="307"/>
      <c r="AM2" s="307"/>
      <c r="AO2" s="118" t="str">
        <f>IF(PowerUnits[[#This Row],[Name]]=0,"",PowerUnits[[#This Row],[Name]])</f>
        <v>Large Tractor</v>
      </c>
    </row>
    <row r="3" spans="1:41" ht="12.75" customHeight="1" x14ac:dyDescent="0.25">
      <c r="A3" s="135" t="s">
        <v>434</v>
      </c>
      <c r="B3" s="136" t="s">
        <v>71</v>
      </c>
      <c r="C3" s="137"/>
      <c r="D3" s="137"/>
      <c r="E3" s="138"/>
      <c r="F3" s="139"/>
      <c r="G3" s="137"/>
      <c r="H3" s="137"/>
      <c r="I3" s="143">
        <v>12</v>
      </c>
      <c r="J3" s="141">
        <v>1.1000000000000001</v>
      </c>
      <c r="K3" s="137" t="s">
        <v>470</v>
      </c>
      <c r="L3" s="139">
        <v>6.36</v>
      </c>
      <c r="M3" s="142"/>
      <c r="N3" s="9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3" s="11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3" s="9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3" s="9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3" s="115">
        <f>IF(Operations[[#This Row],[Calc List Price]]=0,0,IF(Operations[[#This Row],[Units per Hour]]*Operations[[#This Row],[Annual Use]]=0,0,(Operations[[#This Row],[Calc Beg Yr. Value]]-Operations[[#This Row],[Calc End Yr. Value]])/(Operations[[#This Row],[Annual Use]])))</f>
        <v>0</v>
      </c>
      <c r="S3" s="116">
        <f>IF(Operations[[#This Row],[Annual Use]]=0,0,Operations[[#This Row],[Calc Beg Yr. Value]]*'General Variables'!$B$9/Operations[[#This Row],[Annual Use]])</f>
        <v>0</v>
      </c>
      <c r="T3" s="116">
        <f>IF(Operations[[#This Row],[Annual Use]]=0,0,Operations[[#This Row],[Calc Beg Yr. Value]]*'General Variables'!$B$10/Operations[[#This Row],[Annual Use]])</f>
        <v>0</v>
      </c>
      <c r="U3" s="116">
        <f>SUM(Operations[[#This Row],[Depreciation per Unit]:[Opportunity Cost per Unit]])</f>
        <v>0</v>
      </c>
      <c r="W3" s="3" t="s">
        <v>126</v>
      </c>
      <c r="X3" s="3" t="s">
        <v>123</v>
      </c>
      <c r="Y3" s="4" t="s">
        <v>127</v>
      </c>
      <c r="Z3" s="4" t="s">
        <v>125</v>
      </c>
      <c r="AA3" s="6">
        <v>1500</v>
      </c>
      <c r="AD3" s="3" t="s">
        <v>228</v>
      </c>
      <c r="AE3" s="3" t="s">
        <v>233</v>
      </c>
      <c r="AF3" s="3" t="s">
        <v>234</v>
      </c>
      <c r="AG3" s="3" t="s">
        <v>235</v>
      </c>
      <c r="AH3" s="3"/>
      <c r="AK3" s="94" t="s">
        <v>262</v>
      </c>
      <c r="AL3" s="94" t="s">
        <v>263</v>
      </c>
      <c r="AM3" s="119" t="s">
        <v>264</v>
      </c>
      <c r="AO3" s="118" t="str">
        <f>IF(PowerUnits[[#This Row],[Name]]=0,"",PowerUnits[[#This Row],[Name]])</f>
        <v>Medium Tractor</v>
      </c>
    </row>
    <row r="4" spans="1:41" ht="12.75" customHeight="1" x14ac:dyDescent="0.25">
      <c r="A4" s="135" t="s">
        <v>285</v>
      </c>
      <c r="B4" s="136" t="s">
        <v>71</v>
      </c>
      <c r="C4" s="137" t="s">
        <v>335</v>
      </c>
      <c r="D4" s="137" t="s">
        <v>357</v>
      </c>
      <c r="E4" s="144"/>
      <c r="F4" s="139">
        <v>15500</v>
      </c>
      <c r="G4" s="138">
        <v>5</v>
      </c>
      <c r="H4" s="138">
        <v>500</v>
      </c>
      <c r="I4" s="143">
        <v>12</v>
      </c>
      <c r="J4" s="141">
        <v>1.1000000000000001</v>
      </c>
      <c r="K4" s="137" t="s">
        <v>470</v>
      </c>
      <c r="L4" s="139">
        <v>6.3642857142857157</v>
      </c>
      <c r="M4" s="142"/>
      <c r="N4" s="9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32108.240770255194</v>
      </c>
      <c r="O4" s="11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0.58161831141852816</v>
      </c>
      <c r="P4" s="9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15500</v>
      </c>
      <c r="Q4" s="9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14461.04177392678</v>
      </c>
      <c r="R4" s="115">
        <f>IF(Operations[[#This Row],[Calc List Price]]=0,0,IF(Operations[[#This Row],[Units per Hour]]*Operations[[#This Row],[Annual Use]]=0,0,(Operations[[#This Row],[Calc Beg Yr. Value]]-Operations[[#This Row],[Calc End Yr. Value]])/(Operations[[#This Row],[Annual Use]])))</f>
        <v>2.0779164521464408</v>
      </c>
      <c r="S4" s="116">
        <f>IF(Operations[[#This Row],[Annual Use]]=0,0,Operations[[#This Row],[Calc Beg Yr. Value]]*'General Variables'!$B$9/Operations[[#This Row],[Annual Use]])</f>
        <v>0.62</v>
      </c>
      <c r="T4" s="116">
        <f>IF(Operations[[#This Row],[Annual Use]]=0,0,Operations[[#This Row],[Calc Beg Yr. Value]]*'General Variables'!$B$10/Operations[[#This Row],[Annual Use]])</f>
        <v>1.24</v>
      </c>
      <c r="U4" s="116">
        <f>SUM(Operations[[#This Row],[Depreciation per Unit]:[Opportunity Cost per Unit]])</f>
        <v>3.9379164521464407</v>
      </c>
      <c r="W4" s="3" t="s">
        <v>128</v>
      </c>
      <c r="X4" s="3" t="s">
        <v>123</v>
      </c>
      <c r="Y4" s="4" t="s">
        <v>129</v>
      </c>
      <c r="Z4" s="4" t="s">
        <v>125</v>
      </c>
      <c r="AA4" s="6">
        <v>2000</v>
      </c>
      <c r="AD4" s="3" t="s">
        <v>228</v>
      </c>
      <c r="AE4" s="3" t="s">
        <v>236</v>
      </c>
      <c r="AF4" s="3" t="s">
        <v>237</v>
      </c>
      <c r="AG4" s="3" t="s">
        <v>238</v>
      </c>
      <c r="AH4" s="3"/>
      <c r="AK4" s="94" t="s">
        <v>198</v>
      </c>
      <c r="AL4" s="120">
        <v>15</v>
      </c>
      <c r="AM4" s="120">
        <v>2</v>
      </c>
      <c r="AO4" s="118" t="str">
        <f>IF(PowerUnits[[#This Row],[Name]]=0,"",PowerUnits[[#This Row],[Name]])</f>
        <v>Combine</v>
      </c>
    </row>
    <row r="5" spans="1:41" ht="12.75" customHeight="1" x14ac:dyDescent="0.25">
      <c r="A5" s="135" t="s">
        <v>286</v>
      </c>
      <c r="B5" s="136" t="s">
        <v>438</v>
      </c>
      <c r="C5" s="137" t="s">
        <v>398</v>
      </c>
      <c r="D5" s="137" t="s">
        <v>357</v>
      </c>
      <c r="E5" s="138">
        <v>42000</v>
      </c>
      <c r="F5" s="139"/>
      <c r="G5" s="138">
        <v>5</v>
      </c>
      <c r="H5" s="138">
        <f>2000*220</f>
        <v>440000</v>
      </c>
      <c r="I5" s="145">
        <f>7*220</f>
        <v>1540</v>
      </c>
      <c r="J5" s="141">
        <v>1.1000000000000001</v>
      </c>
      <c r="K5" s="137" t="s">
        <v>470</v>
      </c>
      <c r="L5" s="139">
        <v>3</v>
      </c>
      <c r="M5" s="142"/>
      <c r="N5" s="9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42000</v>
      </c>
      <c r="O5" s="11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9.1538023280057779E-3</v>
      </c>
      <c r="P5" s="9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20275.168753657814</v>
      </c>
      <c r="Q5" s="9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18916.133052907138</v>
      </c>
      <c r="R5" s="115">
        <f>IF(Operations[[#This Row],[Calc List Price]]=0,0,IF(Operations[[#This Row],[Units per Hour]]*Operations[[#This Row],[Annual Use]]=0,0,(Operations[[#This Row],[Calc Beg Yr. Value]]-Operations[[#This Row],[Calc End Yr. Value]])/(Operations[[#This Row],[Annual Use]])))</f>
        <v>3.0887175017060807E-3</v>
      </c>
      <c r="S5" s="116">
        <f>IF(Operations[[#This Row],[Annual Use]]=0,0,Operations[[#This Row],[Calc Beg Yr. Value]]*'General Variables'!$B$9/Operations[[#This Row],[Annual Use]])</f>
        <v>9.2159857971171888E-4</v>
      </c>
      <c r="T5" s="116">
        <f>IF(Operations[[#This Row],[Annual Use]]=0,0,Operations[[#This Row],[Calc Beg Yr. Value]]*'General Variables'!$B$10/Operations[[#This Row],[Annual Use]])</f>
        <v>1.8431971594234378E-3</v>
      </c>
      <c r="U5" s="116">
        <f>SUM(Operations[[#This Row],[Depreciation per Unit]:[Opportunity Cost per Unit]])</f>
        <v>5.853513240841237E-3</v>
      </c>
      <c r="W5" s="3" t="s">
        <v>130</v>
      </c>
      <c r="X5" s="3" t="s">
        <v>131</v>
      </c>
      <c r="Y5" s="4" t="s">
        <v>132</v>
      </c>
      <c r="Z5" s="4" t="s">
        <v>133</v>
      </c>
      <c r="AA5" s="5">
        <v>2000</v>
      </c>
      <c r="AD5" s="3" t="s">
        <v>228</v>
      </c>
      <c r="AE5" s="3" t="s">
        <v>239</v>
      </c>
      <c r="AF5" s="3" t="s">
        <v>240</v>
      </c>
      <c r="AG5" s="3" t="s">
        <v>241</v>
      </c>
      <c r="AH5" s="3"/>
      <c r="AK5" s="94" t="s">
        <v>200</v>
      </c>
      <c r="AL5" s="120">
        <v>10</v>
      </c>
      <c r="AM5" s="120">
        <v>3</v>
      </c>
      <c r="AO5" s="118" t="str">
        <f>IF(PowerUnits[[#This Row],[Name]]=0,"",PowerUnits[[#This Row],[Name]])</f>
        <v>Diesel Pump</v>
      </c>
    </row>
    <row r="6" spans="1:41" ht="12.75" customHeight="1" x14ac:dyDescent="0.25">
      <c r="A6" s="135" t="s">
        <v>287</v>
      </c>
      <c r="B6" s="136" t="s">
        <v>71</v>
      </c>
      <c r="C6" s="137" t="s">
        <v>335</v>
      </c>
      <c r="D6" s="137" t="s">
        <v>356</v>
      </c>
      <c r="E6" s="144">
        <v>56958</v>
      </c>
      <c r="F6" s="139"/>
      <c r="G6" s="138">
        <v>5</v>
      </c>
      <c r="H6" s="138">
        <v>2000</v>
      </c>
      <c r="I6" s="143">
        <v>11.092436974789917</v>
      </c>
      <c r="J6" s="141">
        <v>1.1000000000000001</v>
      </c>
      <c r="K6" s="137" t="s">
        <v>470</v>
      </c>
      <c r="L6" s="139">
        <v>8.2638655462184882</v>
      </c>
      <c r="M6" s="142"/>
      <c r="N6" s="9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56958</v>
      </c>
      <c r="O6" s="11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2.0054704850529652</v>
      </c>
      <c r="P6" s="9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23698.341625765872</v>
      </c>
      <c r="Q6" s="9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22004.699230453538</v>
      </c>
      <c r="R6" s="115">
        <f>IF(Operations[[#This Row],[Calc List Price]]=0,0,IF(Operations[[#This Row],[Units per Hour]]*Operations[[#This Row],[Annual Use]]=0,0,(Operations[[#This Row],[Calc Beg Yr. Value]]-Operations[[#This Row],[Calc End Yr. Value]])/(Operations[[#This Row],[Annual Use]])))</f>
        <v>0.84682119765616704</v>
      </c>
      <c r="S6" s="116">
        <f>IF(Operations[[#This Row],[Annual Use]]=0,0,Operations[[#This Row],[Calc Beg Yr. Value]]*'General Variables'!$B$9/Operations[[#This Row],[Annual Use]])</f>
        <v>0.23698341625765873</v>
      </c>
      <c r="T6" s="116">
        <f>IF(Operations[[#This Row],[Annual Use]]=0,0,Operations[[#This Row],[Calc Beg Yr. Value]]*'General Variables'!$B$10/Operations[[#This Row],[Annual Use]])</f>
        <v>0.47396683251531746</v>
      </c>
      <c r="U6" s="116">
        <f>SUM(Operations[[#This Row],[Depreciation per Unit]:[Opportunity Cost per Unit]])</f>
        <v>1.5577714464291432</v>
      </c>
      <c r="W6" s="3" t="s">
        <v>134</v>
      </c>
      <c r="X6" s="3" t="s">
        <v>131</v>
      </c>
      <c r="Y6" s="4" t="s">
        <v>135</v>
      </c>
      <c r="Z6" s="4" t="s">
        <v>136</v>
      </c>
      <c r="AA6" s="6">
        <v>1200</v>
      </c>
      <c r="AD6" s="3" t="s">
        <v>242</v>
      </c>
      <c r="AE6" s="3" t="s">
        <v>243</v>
      </c>
      <c r="AF6" s="3" t="s">
        <v>244</v>
      </c>
      <c r="AG6" s="3" t="s">
        <v>245</v>
      </c>
      <c r="AH6" s="3"/>
      <c r="AK6" s="94" t="s">
        <v>201</v>
      </c>
      <c r="AL6" s="120">
        <v>15</v>
      </c>
      <c r="AM6" s="120">
        <v>2</v>
      </c>
      <c r="AO6" s="118" t="str">
        <f>IF(PowerUnits[[#This Row],[Name]]=0,"",PowerUnits[[#This Row],[Name]])</f>
        <v>Electric Pump</v>
      </c>
    </row>
    <row r="7" spans="1:41" ht="12.75" customHeight="1" x14ac:dyDescent="0.25">
      <c r="A7" s="135" t="s">
        <v>288</v>
      </c>
      <c r="B7" s="136" t="s">
        <v>3</v>
      </c>
      <c r="C7" s="136"/>
      <c r="D7" s="136"/>
      <c r="E7" s="138"/>
      <c r="F7" s="139"/>
      <c r="G7" s="138"/>
      <c r="H7" s="138"/>
      <c r="I7" s="143" t="s">
        <v>397</v>
      </c>
      <c r="J7" s="141"/>
      <c r="K7" s="137"/>
      <c r="L7" s="139" t="s">
        <v>397</v>
      </c>
      <c r="M7" s="142"/>
      <c r="N7" s="9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7" s="121">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7" s="9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7" s="9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7" s="115">
        <f>IF(Operations[[#This Row],[Calc List Price]]=0,0,IF(Operations[[#This Row],[Units per Hour]]*Operations[[#This Row],[Annual Use]]=0,0,(Operations[[#This Row],[Calc Beg Yr. Value]]-Operations[[#This Row],[Calc End Yr. Value]])/(Operations[[#This Row],[Annual Use]])))</f>
        <v>0</v>
      </c>
      <c r="S7" s="116">
        <f>IF(Operations[[#This Row],[Annual Use]]=0,0,Operations[[#This Row],[Calc Beg Yr. Value]]*'General Variables'!$B$9/Operations[[#This Row],[Annual Use]])</f>
        <v>0</v>
      </c>
      <c r="T7" s="116">
        <f>IF(Operations[[#This Row],[Annual Use]]=0,0,Operations[[#This Row],[Calc Beg Yr. Value]]*'General Variables'!$B$10/Operations[[#This Row],[Annual Use]])</f>
        <v>0</v>
      </c>
      <c r="U7" s="116">
        <f>SUM(Operations[[#This Row],[Depreciation per Unit]:[Opportunity Cost per Unit]])</f>
        <v>0</v>
      </c>
      <c r="W7" s="3" t="s">
        <v>137</v>
      </c>
      <c r="X7" s="3" t="s">
        <v>138</v>
      </c>
      <c r="Y7" s="4" t="s">
        <v>135</v>
      </c>
      <c r="Z7" s="4" t="s">
        <v>136</v>
      </c>
      <c r="AA7" s="5">
        <v>2000</v>
      </c>
      <c r="AD7" s="3" t="s">
        <v>242</v>
      </c>
      <c r="AE7" s="3" t="s">
        <v>246</v>
      </c>
      <c r="AF7" s="3" t="s">
        <v>247</v>
      </c>
      <c r="AG7" s="3" t="s">
        <v>248</v>
      </c>
      <c r="AH7" s="3"/>
      <c r="AK7" s="94" t="s">
        <v>202</v>
      </c>
      <c r="AL7" s="120">
        <v>10</v>
      </c>
      <c r="AM7" s="120">
        <v>6</v>
      </c>
      <c r="AO7" s="118" t="str">
        <f>IF(PowerUnits[[#This Row],[Name]]=0,"",PowerUnits[[#This Row],[Name]])</f>
        <v>Diesel Pump for Pipe</v>
      </c>
    </row>
    <row r="8" spans="1:41" ht="12.75" customHeight="1" x14ac:dyDescent="0.25">
      <c r="A8" s="135" t="s">
        <v>289</v>
      </c>
      <c r="B8" s="136" t="s">
        <v>71</v>
      </c>
      <c r="C8" s="137" t="s">
        <v>336</v>
      </c>
      <c r="D8" s="137" t="s">
        <v>331</v>
      </c>
      <c r="E8" s="144">
        <v>19286</v>
      </c>
      <c r="F8" s="139"/>
      <c r="G8" s="138">
        <v>5</v>
      </c>
      <c r="H8" s="138">
        <v>500</v>
      </c>
      <c r="I8" s="143">
        <v>12.336448598130842</v>
      </c>
      <c r="J8" s="141">
        <v>1.1000000000000001</v>
      </c>
      <c r="K8" s="137" t="s">
        <v>470</v>
      </c>
      <c r="L8" s="139">
        <v>5.736448598130842</v>
      </c>
      <c r="M8" s="142"/>
      <c r="N8" s="9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19286</v>
      </c>
      <c r="O8" s="11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0.33608664256651644</v>
      </c>
      <c r="P8" s="9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6657.0871286417614</v>
      </c>
      <c r="Q8" s="9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6224.2393928272586</v>
      </c>
      <c r="R8" s="115">
        <f>IF(Operations[[#This Row],[Calc List Price]]=0,0,IF(Operations[[#This Row],[Units per Hour]]*Operations[[#This Row],[Annual Use]]=0,0,(Operations[[#This Row],[Calc Beg Yr. Value]]-Operations[[#This Row],[Calc End Yr. Value]])/(Operations[[#This Row],[Annual Use]])))</f>
        <v>0.86569547162900562</v>
      </c>
      <c r="S8" s="116">
        <f>IF(Operations[[#This Row],[Annual Use]]=0,0,Operations[[#This Row],[Calc Beg Yr. Value]]*'General Variables'!$B$9/Operations[[#This Row],[Annual Use]])</f>
        <v>0.26628348514567046</v>
      </c>
      <c r="T8" s="116">
        <f>IF(Operations[[#This Row],[Annual Use]]=0,0,Operations[[#This Row],[Calc Beg Yr. Value]]*'General Variables'!$B$10/Operations[[#This Row],[Annual Use]])</f>
        <v>0.53256697029134092</v>
      </c>
      <c r="U8" s="116">
        <f>SUM(Operations[[#This Row],[Depreciation per Unit]:[Opportunity Cost per Unit]])</f>
        <v>1.664545927066017</v>
      </c>
      <c r="W8" s="3" t="s">
        <v>139</v>
      </c>
      <c r="X8" s="3" t="s">
        <v>123</v>
      </c>
      <c r="Y8" s="4" t="s">
        <v>140</v>
      </c>
      <c r="Z8" s="4" t="s">
        <v>141</v>
      </c>
      <c r="AA8" s="6">
        <v>2000</v>
      </c>
      <c r="AD8" s="3" t="s">
        <v>249</v>
      </c>
      <c r="AE8" s="3" t="s">
        <v>250</v>
      </c>
      <c r="AF8" s="3" t="s">
        <v>251</v>
      </c>
      <c r="AG8" s="3" t="s">
        <v>252</v>
      </c>
      <c r="AH8" s="3">
        <v>0</v>
      </c>
      <c r="AK8" s="94" t="s">
        <v>203</v>
      </c>
      <c r="AL8" s="120">
        <v>15</v>
      </c>
      <c r="AM8" s="120">
        <v>6</v>
      </c>
      <c r="AO8" s="118" t="str">
        <f>IF(PowerUnits[[#This Row],[Name]]=0,"",PowerUnits[[#This Row],[Name]])</f>
        <v>Windrower</v>
      </c>
    </row>
    <row r="9" spans="1:41" ht="12.75" customHeight="1" x14ac:dyDescent="0.25">
      <c r="A9" s="135" t="s">
        <v>475</v>
      </c>
      <c r="B9" s="136" t="s">
        <v>71</v>
      </c>
      <c r="C9" s="137" t="s">
        <v>337</v>
      </c>
      <c r="D9" s="137" t="s">
        <v>276</v>
      </c>
      <c r="E9" s="144">
        <v>50450</v>
      </c>
      <c r="F9" s="139"/>
      <c r="G9" s="138">
        <v>5</v>
      </c>
      <c r="H9" s="144">
        <v>1000</v>
      </c>
      <c r="I9" s="145">
        <v>7</v>
      </c>
      <c r="J9" s="141">
        <v>1.1000000000000001</v>
      </c>
      <c r="K9" s="137" t="s">
        <v>271</v>
      </c>
      <c r="L9" s="139">
        <v>10.5</v>
      </c>
      <c r="M9" s="142"/>
      <c r="N9" s="9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50450</v>
      </c>
      <c r="O9" s="11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1.4546201787307349</v>
      </c>
      <c r="P9" s="9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29374.181867105253</v>
      </c>
      <c r="Q9" s="9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26725.514759554455</v>
      </c>
      <c r="R9" s="115">
        <f>IF(Operations[[#This Row],[Calc List Price]]=0,0,IF(Operations[[#This Row],[Units per Hour]]*Operations[[#This Row],[Annual Use]]=0,0,(Operations[[#This Row],[Calc Beg Yr. Value]]-Operations[[#This Row],[Calc End Yr. Value]])/(Operations[[#This Row],[Annual Use]])))</f>
        <v>2.6486671075507986</v>
      </c>
      <c r="S9" s="116">
        <f>IF(Operations[[#This Row],[Annual Use]]=0,0,Operations[[#This Row],[Calc Beg Yr. Value]]*'General Variables'!$B$9/Operations[[#This Row],[Annual Use]])</f>
        <v>0.58748363734210507</v>
      </c>
      <c r="T9" s="116">
        <f>IF(Operations[[#This Row],[Annual Use]]=0,0,Operations[[#This Row],[Calc Beg Yr. Value]]*'General Variables'!$B$10/Operations[[#This Row],[Annual Use]])</f>
        <v>1.1749672746842101</v>
      </c>
      <c r="U9" s="116">
        <f>SUM(Operations[[#This Row],[Depreciation per Unit]:[Opportunity Cost per Unit]])</f>
        <v>4.4111180195771134</v>
      </c>
      <c r="W9" s="3" t="s">
        <v>145</v>
      </c>
      <c r="X9" s="3" t="s">
        <v>123</v>
      </c>
      <c r="Y9" s="4" t="s">
        <v>146</v>
      </c>
      <c r="Z9" s="4" t="s">
        <v>141</v>
      </c>
      <c r="AA9" s="6">
        <v>2000</v>
      </c>
      <c r="AD9" s="3" t="s">
        <v>249</v>
      </c>
      <c r="AE9" s="3" t="s">
        <v>254</v>
      </c>
      <c r="AF9" s="3" t="s">
        <v>255</v>
      </c>
      <c r="AG9" s="3" t="s">
        <v>256</v>
      </c>
      <c r="AH9" s="3"/>
      <c r="AK9" s="94" t="s">
        <v>204</v>
      </c>
      <c r="AL9" s="120">
        <v>15</v>
      </c>
      <c r="AM9" s="120">
        <v>6</v>
      </c>
      <c r="AO9" s="118" t="str">
        <f>IF(PowerUnits[[#This Row],[Name]]=0,"",PowerUnits[[#This Row],[Name]])</f>
        <v>none</v>
      </c>
    </row>
    <row r="10" spans="1:41" ht="12.75" customHeight="1" x14ac:dyDescent="0.25">
      <c r="A10" s="135" t="s">
        <v>479</v>
      </c>
      <c r="B10" s="136" t="s">
        <v>71</v>
      </c>
      <c r="C10" s="137" t="s">
        <v>337</v>
      </c>
      <c r="D10" s="137" t="s">
        <v>276</v>
      </c>
      <c r="E10" s="138">
        <v>30866</v>
      </c>
      <c r="F10" s="139"/>
      <c r="G10" s="138">
        <v>5</v>
      </c>
      <c r="H10" s="144">
        <v>1000</v>
      </c>
      <c r="I10" s="143">
        <v>6.5</v>
      </c>
      <c r="J10" s="141">
        <v>1.1000000000000001</v>
      </c>
      <c r="K10" s="137" t="s">
        <v>271</v>
      </c>
      <c r="L10" s="139">
        <v>10.5</v>
      </c>
      <c r="M10" s="142"/>
      <c r="N10" s="9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30866</v>
      </c>
      <c r="O10" s="11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1.0553428227656609</v>
      </c>
      <c r="P10" s="9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17971.526214272959</v>
      </c>
      <c r="Q10" s="9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16351.035452297479</v>
      </c>
      <c r="R10" s="115">
        <f>IF(Operations[[#This Row],[Calc List Price]]=0,0,IF(Operations[[#This Row],[Units per Hour]]*Operations[[#This Row],[Annual Use]]=0,0,(Operations[[#This Row],[Calc Beg Yr. Value]]-Operations[[#This Row],[Calc End Yr. Value]])/(Operations[[#This Row],[Annual Use]])))</f>
        <v>1.6204907619754794</v>
      </c>
      <c r="S10" s="116">
        <f>IF(Operations[[#This Row],[Annual Use]]=0,0,Operations[[#This Row],[Calc Beg Yr. Value]]*'General Variables'!$B$9/Operations[[#This Row],[Annual Use]])</f>
        <v>0.35943052428545919</v>
      </c>
      <c r="T10" s="116">
        <f>IF(Operations[[#This Row],[Annual Use]]=0,0,Operations[[#This Row],[Calc Beg Yr. Value]]*'General Variables'!$B$10/Operations[[#This Row],[Annual Use]])</f>
        <v>0.71886104857091837</v>
      </c>
      <c r="U10" s="116">
        <f>SUM(Operations[[#This Row],[Depreciation per Unit]:[Opportunity Cost per Unit]])</f>
        <v>2.6987823348318569</v>
      </c>
      <c r="W10" s="3" t="s">
        <v>149</v>
      </c>
      <c r="X10" s="3" t="s">
        <v>138</v>
      </c>
      <c r="Y10" s="4" t="s">
        <v>150</v>
      </c>
      <c r="Z10" s="4" t="s">
        <v>136</v>
      </c>
      <c r="AA10" s="6">
        <v>2000</v>
      </c>
      <c r="AD10" s="3" t="s">
        <v>257</v>
      </c>
      <c r="AE10" s="3" t="s">
        <v>258</v>
      </c>
      <c r="AF10" s="3" t="s">
        <v>259</v>
      </c>
      <c r="AG10" s="3" t="s">
        <v>260</v>
      </c>
      <c r="AH10" s="3"/>
      <c r="AK10" s="94" t="s">
        <v>205</v>
      </c>
      <c r="AL10" s="120">
        <v>15</v>
      </c>
      <c r="AM10" s="120">
        <v>6</v>
      </c>
      <c r="AO10" s="118" t="str">
        <f>IF(PowerUnits[[#This Row],[Name]]=0,"",PowerUnits[[#This Row],[Name]])</f>
        <v/>
      </c>
    </row>
    <row r="11" spans="1:41" ht="12.75" customHeight="1" x14ac:dyDescent="0.25">
      <c r="A11" s="135" t="s">
        <v>477</v>
      </c>
      <c r="B11" s="136" t="s">
        <v>71</v>
      </c>
      <c r="C11" s="137" t="s">
        <v>337</v>
      </c>
      <c r="D11" s="137" t="s">
        <v>276</v>
      </c>
      <c r="E11" s="138">
        <v>30866</v>
      </c>
      <c r="F11" s="139"/>
      <c r="G11" s="138">
        <v>5</v>
      </c>
      <c r="H11" s="144">
        <v>1000</v>
      </c>
      <c r="I11" s="143">
        <v>6.5</v>
      </c>
      <c r="J11" s="141">
        <v>1.1000000000000001</v>
      </c>
      <c r="K11" s="137" t="s">
        <v>271</v>
      </c>
      <c r="L11" s="139">
        <v>10.5</v>
      </c>
      <c r="M11" s="142"/>
      <c r="N11" s="9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30866</v>
      </c>
      <c r="O11" s="11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1.0553428227656609</v>
      </c>
      <c r="P11" s="9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17971.526214272959</v>
      </c>
      <c r="Q11" s="9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16351.035452297479</v>
      </c>
      <c r="R11" s="115">
        <f>IF(Operations[[#This Row],[Calc List Price]]=0,0,IF(Operations[[#This Row],[Units per Hour]]*Operations[[#This Row],[Annual Use]]=0,0,(Operations[[#This Row],[Calc Beg Yr. Value]]-Operations[[#This Row],[Calc End Yr. Value]])/(Operations[[#This Row],[Annual Use]])))</f>
        <v>1.6204907619754794</v>
      </c>
      <c r="S11" s="116">
        <f>IF(Operations[[#This Row],[Annual Use]]=0,0,Operations[[#This Row],[Calc Beg Yr. Value]]*'General Variables'!$B$9/Operations[[#This Row],[Annual Use]])</f>
        <v>0.35943052428545919</v>
      </c>
      <c r="T11" s="116">
        <f>IF(Operations[[#This Row],[Annual Use]]=0,0,Operations[[#This Row],[Calc Beg Yr. Value]]*'General Variables'!$B$10/Operations[[#This Row],[Annual Use]])</f>
        <v>0.71886104857091837</v>
      </c>
      <c r="U11" s="116">
        <f>SUM(Operations[[#This Row],[Depreciation per Unit]:[Opportunity Cost per Unit]])</f>
        <v>2.6987823348318569</v>
      </c>
      <c r="W11" s="3" t="s">
        <v>151</v>
      </c>
      <c r="X11" s="3" t="s">
        <v>138</v>
      </c>
      <c r="Y11" s="4" t="s">
        <v>152</v>
      </c>
      <c r="Z11" s="4" t="s">
        <v>153</v>
      </c>
      <c r="AA11" s="5">
        <v>2000</v>
      </c>
      <c r="AD11" s="3" t="s">
        <v>204</v>
      </c>
      <c r="AE11" s="3" t="s">
        <v>383</v>
      </c>
      <c r="AF11" s="3" t="s">
        <v>247</v>
      </c>
      <c r="AG11" s="3" t="s">
        <v>248</v>
      </c>
      <c r="AH11" s="3"/>
      <c r="AK11" s="94" t="s">
        <v>206</v>
      </c>
      <c r="AL11" s="120">
        <v>15</v>
      </c>
      <c r="AM11" s="120">
        <v>6</v>
      </c>
      <c r="AO11" s="118" t="str">
        <f>IF(PowerUnits[[#This Row],[Name]]=0,"",PowerUnits[[#This Row],[Name]])</f>
        <v/>
      </c>
    </row>
    <row r="12" spans="1:41" ht="12.75" customHeight="1" x14ac:dyDescent="0.25">
      <c r="A12" s="135" t="s">
        <v>282</v>
      </c>
      <c r="B12" s="136" t="s">
        <v>71</v>
      </c>
      <c r="C12" s="137" t="s">
        <v>337</v>
      </c>
      <c r="D12" s="137" t="s">
        <v>276</v>
      </c>
      <c r="E12" s="144">
        <v>51450</v>
      </c>
      <c r="F12" s="139"/>
      <c r="G12" s="138">
        <v>5</v>
      </c>
      <c r="H12" s="144">
        <v>1000</v>
      </c>
      <c r="I12" s="143">
        <v>7</v>
      </c>
      <c r="J12" s="141">
        <v>1.1000000000000001</v>
      </c>
      <c r="K12" s="137" t="s">
        <v>271</v>
      </c>
      <c r="L12" s="139">
        <v>10.5</v>
      </c>
      <c r="M12" s="142"/>
      <c r="N12" s="9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51450</v>
      </c>
      <c r="O12" s="11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1.4834530861386781</v>
      </c>
      <c r="P12" s="9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29956.425313430431</v>
      </c>
      <c r="Q12" s="9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27255.257371240372</v>
      </c>
      <c r="R12" s="115">
        <f>IF(Operations[[#This Row],[Calc List Price]]=0,0,IF(Operations[[#This Row],[Units per Hour]]*Operations[[#This Row],[Annual Use]]=0,0,(Operations[[#This Row],[Calc Beg Yr. Value]]-Operations[[#This Row],[Calc End Yr. Value]])/(Operations[[#This Row],[Annual Use]])))</f>
        <v>2.7011679421900592</v>
      </c>
      <c r="S12" s="116">
        <f>IF(Operations[[#This Row],[Annual Use]]=0,0,Operations[[#This Row],[Calc Beg Yr. Value]]*'General Variables'!$B$9/Operations[[#This Row],[Annual Use]])</f>
        <v>0.59912850626860858</v>
      </c>
      <c r="T12" s="116">
        <f>IF(Operations[[#This Row],[Annual Use]]=0,0,Operations[[#This Row],[Calc Beg Yr. Value]]*'General Variables'!$B$10/Operations[[#This Row],[Annual Use]])</f>
        <v>1.1982570125372172</v>
      </c>
      <c r="U12" s="116">
        <f>SUM(Operations[[#This Row],[Depreciation per Unit]:[Opportunity Cost per Unit]])</f>
        <v>4.4985534609958853</v>
      </c>
      <c r="W12" s="3" t="s">
        <v>154</v>
      </c>
      <c r="X12" s="3" t="s">
        <v>138</v>
      </c>
      <c r="Y12" s="4" t="s">
        <v>155</v>
      </c>
      <c r="Z12" s="4" t="s">
        <v>156</v>
      </c>
      <c r="AA12" s="5">
        <v>2000</v>
      </c>
      <c r="AK12" s="94" t="s">
        <v>207</v>
      </c>
      <c r="AL12" s="120">
        <v>15</v>
      </c>
      <c r="AM12" s="120">
        <v>6</v>
      </c>
    </row>
    <row r="13" spans="1:41" ht="12.75" customHeight="1" x14ac:dyDescent="0.25">
      <c r="A13" s="135" t="s">
        <v>284</v>
      </c>
      <c r="B13" s="136" t="s">
        <v>71</v>
      </c>
      <c r="C13" s="137" t="s">
        <v>337</v>
      </c>
      <c r="D13" s="137" t="s">
        <v>276</v>
      </c>
      <c r="E13" s="144">
        <v>30866</v>
      </c>
      <c r="F13" s="139"/>
      <c r="G13" s="138">
        <v>5</v>
      </c>
      <c r="H13" s="138">
        <v>1000</v>
      </c>
      <c r="I13" s="143">
        <v>5</v>
      </c>
      <c r="J13" s="141">
        <v>1.1000000000000001</v>
      </c>
      <c r="K13" s="137" t="s">
        <v>271</v>
      </c>
      <c r="L13" s="139">
        <v>10.5</v>
      </c>
      <c r="M13" s="142"/>
      <c r="N13" s="9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30866</v>
      </c>
      <c r="O13" s="11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1.9295821423222126</v>
      </c>
      <c r="P13" s="9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17971.526214272959</v>
      </c>
      <c r="Q13" s="9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16351.035452297479</v>
      </c>
      <c r="R13" s="115">
        <f>IF(Operations[[#This Row],[Calc List Price]]=0,0,IF(Operations[[#This Row],[Units per Hour]]*Operations[[#This Row],[Annual Use]]=0,0,(Operations[[#This Row],[Calc Beg Yr. Value]]-Operations[[#This Row],[Calc End Yr. Value]])/(Operations[[#This Row],[Annual Use]])))</f>
        <v>1.6204907619754794</v>
      </c>
      <c r="S13" s="116">
        <f>IF(Operations[[#This Row],[Annual Use]]=0,0,Operations[[#This Row],[Calc Beg Yr. Value]]*'General Variables'!$B$9/Operations[[#This Row],[Annual Use]])</f>
        <v>0.35943052428545919</v>
      </c>
      <c r="T13" s="116">
        <f>IF(Operations[[#This Row],[Annual Use]]=0,0,Operations[[#This Row],[Calc Beg Yr. Value]]*'General Variables'!$B$10/Operations[[#This Row],[Annual Use]])</f>
        <v>0.71886104857091837</v>
      </c>
      <c r="U13" s="116">
        <f>SUM(Operations[[#This Row],[Depreciation per Unit]:[Opportunity Cost per Unit]])</f>
        <v>2.6987823348318569</v>
      </c>
      <c r="W13" s="3" t="s">
        <v>157</v>
      </c>
      <c r="X13" s="3" t="s">
        <v>138</v>
      </c>
      <c r="Y13" s="4" t="s">
        <v>155</v>
      </c>
      <c r="Z13" s="4" t="s">
        <v>156</v>
      </c>
      <c r="AA13" s="6">
        <v>2000</v>
      </c>
      <c r="AK13" s="94" t="s">
        <v>208</v>
      </c>
      <c r="AL13" s="120">
        <v>15</v>
      </c>
      <c r="AM13" s="120">
        <v>2</v>
      </c>
    </row>
    <row r="14" spans="1:41" ht="12.75" customHeight="1" x14ac:dyDescent="0.25">
      <c r="A14" s="135" t="s">
        <v>283</v>
      </c>
      <c r="B14" s="136" t="s">
        <v>71</v>
      </c>
      <c r="C14" s="137" t="s">
        <v>337</v>
      </c>
      <c r="D14" s="137" t="s">
        <v>276</v>
      </c>
      <c r="E14" s="138">
        <v>30866</v>
      </c>
      <c r="F14" s="139"/>
      <c r="G14" s="138">
        <v>5</v>
      </c>
      <c r="H14" s="144">
        <v>1000</v>
      </c>
      <c r="I14" s="143">
        <v>6</v>
      </c>
      <c r="J14" s="141">
        <v>1.1000000000000001</v>
      </c>
      <c r="K14" s="137" t="s">
        <v>271</v>
      </c>
      <c r="L14" s="139">
        <v>10.5</v>
      </c>
      <c r="M14" s="142"/>
      <c r="N14" s="9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30866</v>
      </c>
      <c r="O14" s="11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1.2686633834568817</v>
      </c>
      <c r="P14" s="9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17971.526214272959</v>
      </c>
      <c r="Q14" s="9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16351.035452297479</v>
      </c>
      <c r="R14" s="115">
        <f>IF(Operations[[#This Row],[Calc List Price]]=0,0,IF(Operations[[#This Row],[Units per Hour]]*Operations[[#This Row],[Annual Use]]=0,0,(Operations[[#This Row],[Calc Beg Yr. Value]]-Operations[[#This Row],[Calc End Yr. Value]])/(Operations[[#This Row],[Annual Use]])))</f>
        <v>1.6204907619754794</v>
      </c>
      <c r="S14" s="116">
        <f>IF(Operations[[#This Row],[Annual Use]]=0,0,Operations[[#This Row],[Calc Beg Yr. Value]]*'General Variables'!$B$9/Operations[[#This Row],[Annual Use]])</f>
        <v>0.35943052428545919</v>
      </c>
      <c r="T14" s="116">
        <f>IF(Operations[[#This Row],[Annual Use]]=0,0,Operations[[#This Row],[Calc Beg Yr. Value]]*'General Variables'!$B$10/Operations[[#This Row],[Annual Use]])</f>
        <v>0.71886104857091837</v>
      </c>
      <c r="U14" s="116">
        <f>SUM(Operations[[#This Row],[Depreciation per Unit]:[Opportunity Cost per Unit]])</f>
        <v>2.6987823348318569</v>
      </c>
      <c r="W14" s="3" t="s">
        <v>158</v>
      </c>
      <c r="X14" s="3" t="s">
        <v>138</v>
      </c>
      <c r="Y14" s="4" t="s">
        <v>159</v>
      </c>
      <c r="Z14" s="4" t="s">
        <v>144</v>
      </c>
      <c r="AA14" s="6">
        <v>1500</v>
      </c>
      <c r="AK14" s="94" t="s">
        <v>209</v>
      </c>
      <c r="AL14" s="120">
        <v>20</v>
      </c>
      <c r="AM14" s="120">
        <v>1</v>
      </c>
    </row>
    <row r="15" spans="1:41" ht="12.75" customHeight="1" x14ac:dyDescent="0.25">
      <c r="A15" s="135" t="s">
        <v>281</v>
      </c>
      <c r="B15" s="136" t="s">
        <v>71</v>
      </c>
      <c r="C15" s="137" t="s">
        <v>337</v>
      </c>
      <c r="D15" s="137" t="s">
        <v>276</v>
      </c>
      <c r="E15" s="138">
        <v>30866</v>
      </c>
      <c r="F15" s="139"/>
      <c r="G15" s="138">
        <v>5</v>
      </c>
      <c r="H15" s="144">
        <v>1000</v>
      </c>
      <c r="I15" s="143">
        <v>6.5</v>
      </c>
      <c r="J15" s="141">
        <v>1.1000000000000001</v>
      </c>
      <c r="K15" s="137" t="s">
        <v>271</v>
      </c>
      <c r="L15" s="139">
        <v>10.5</v>
      </c>
      <c r="M15" s="142"/>
      <c r="N15" s="9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30866</v>
      </c>
      <c r="O15" s="11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1.0553428227656609</v>
      </c>
      <c r="P15" s="9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17971.526214272959</v>
      </c>
      <c r="Q15" s="9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16351.035452297479</v>
      </c>
      <c r="R15" s="115">
        <f>IF(Operations[[#This Row],[Calc List Price]]=0,0,IF(Operations[[#This Row],[Units per Hour]]*Operations[[#This Row],[Annual Use]]=0,0,(Operations[[#This Row],[Calc Beg Yr. Value]]-Operations[[#This Row],[Calc End Yr. Value]])/(Operations[[#This Row],[Annual Use]])))</f>
        <v>1.6204907619754794</v>
      </c>
      <c r="S15" s="116">
        <f>IF(Operations[[#This Row],[Annual Use]]=0,0,Operations[[#This Row],[Calc Beg Yr. Value]]*'General Variables'!$B$9/Operations[[#This Row],[Annual Use]])</f>
        <v>0.35943052428545919</v>
      </c>
      <c r="T15" s="116">
        <f>IF(Operations[[#This Row],[Annual Use]]=0,0,Operations[[#This Row],[Calc Beg Yr. Value]]*'General Variables'!$B$10/Operations[[#This Row],[Annual Use]])</f>
        <v>0.71886104857091837</v>
      </c>
      <c r="U15" s="116">
        <f>SUM(Operations[[#This Row],[Depreciation per Unit]:[Opportunity Cost per Unit]])</f>
        <v>2.6987823348318569</v>
      </c>
      <c r="W15" s="3" t="s">
        <v>160</v>
      </c>
      <c r="X15" s="3" t="s">
        <v>131</v>
      </c>
      <c r="Y15" s="4" t="s">
        <v>161</v>
      </c>
      <c r="Z15" s="4" t="s">
        <v>162</v>
      </c>
      <c r="AA15" s="6">
        <v>1200</v>
      </c>
      <c r="AK15" s="94" t="s">
        <v>210</v>
      </c>
      <c r="AL15" s="120">
        <v>15</v>
      </c>
      <c r="AM15" s="120">
        <v>3</v>
      </c>
    </row>
    <row r="16" spans="1:41" ht="12.75" customHeight="1" x14ac:dyDescent="0.25">
      <c r="A16" s="135" t="s">
        <v>578</v>
      </c>
      <c r="B16" s="136" t="s">
        <v>71</v>
      </c>
      <c r="C16" s="137" t="s">
        <v>337</v>
      </c>
      <c r="D16" s="137" t="s">
        <v>276</v>
      </c>
      <c r="E16" s="138">
        <v>79100</v>
      </c>
      <c r="F16" s="139"/>
      <c r="G16" s="138">
        <v>5</v>
      </c>
      <c r="H16" s="138">
        <v>1000</v>
      </c>
      <c r="I16" s="140">
        <v>5</v>
      </c>
      <c r="J16" s="141">
        <v>1.1000000000000001</v>
      </c>
      <c r="K16" s="137" t="s">
        <v>271</v>
      </c>
      <c r="L16" s="139">
        <v>10.5</v>
      </c>
      <c r="M16" s="142"/>
      <c r="N16" s="9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79100</v>
      </c>
      <c r="O16" s="11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4.9449215142126297</v>
      </c>
      <c r="P16" s="9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46055.456604321611</v>
      </c>
      <c r="Q16" s="9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41902.640584355941</v>
      </c>
      <c r="R16" s="115">
        <f>IF(Operations[[#This Row],[Calc List Price]]=0,0,IF(Operations[[#This Row],[Units per Hour]]*Operations[[#This Row],[Annual Use]]=0,0,(Operations[[#This Row],[Calc Beg Yr. Value]]-Operations[[#This Row],[Calc End Yr. Value]])/(Operations[[#This Row],[Annual Use]])))</f>
        <v>4.1528160199656705</v>
      </c>
      <c r="S16" s="116">
        <f>IF(Operations[[#This Row],[Annual Use]]=0,0,Operations[[#This Row],[Calc Beg Yr. Value]]*'General Variables'!$B$9/Operations[[#This Row],[Annual Use]])</f>
        <v>0.9211091320864323</v>
      </c>
      <c r="T16" s="116">
        <f>IF(Operations[[#This Row],[Annual Use]]=0,0,Operations[[#This Row],[Calc Beg Yr. Value]]*'General Variables'!$B$10/Operations[[#This Row],[Annual Use]])</f>
        <v>1.8422182641728646</v>
      </c>
      <c r="U16" s="116">
        <f>SUM(Operations[[#This Row],[Depreciation per Unit]:[Opportunity Cost per Unit]])</f>
        <v>6.9161434162249673</v>
      </c>
      <c r="W16" s="3" t="s">
        <v>163</v>
      </c>
      <c r="X16" s="3" t="s">
        <v>131</v>
      </c>
      <c r="Y16" s="4" t="s">
        <v>164</v>
      </c>
      <c r="Z16" s="4" t="s">
        <v>125</v>
      </c>
      <c r="AA16" s="5">
        <v>1500</v>
      </c>
      <c r="AK16" s="308" t="s">
        <v>265</v>
      </c>
      <c r="AL16" s="308"/>
      <c r="AM16" s="308"/>
    </row>
    <row r="17" spans="1:39" ht="12.75" customHeight="1" x14ac:dyDescent="0.25">
      <c r="A17" s="135" t="s">
        <v>556</v>
      </c>
      <c r="B17" s="136" t="s">
        <v>71</v>
      </c>
      <c r="C17" s="137" t="s">
        <v>337</v>
      </c>
      <c r="D17" s="137" t="s">
        <v>276</v>
      </c>
      <c r="E17" s="138">
        <v>30866</v>
      </c>
      <c r="F17" s="139">
        <v>15000</v>
      </c>
      <c r="G17" s="138">
        <v>5</v>
      </c>
      <c r="H17" s="144">
        <v>1000</v>
      </c>
      <c r="I17" s="146">
        <v>7</v>
      </c>
      <c r="J17" s="141">
        <v>1.1000000000000001</v>
      </c>
      <c r="K17" s="137" t="s">
        <v>271</v>
      </c>
      <c r="L17" s="139">
        <v>10.468032786885246</v>
      </c>
      <c r="M17" s="142"/>
      <c r="N17" s="9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30866</v>
      </c>
      <c r="O17" s="11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0.88995652005357517</v>
      </c>
      <c r="P17" s="9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17971.526214272959</v>
      </c>
      <c r="Q17" s="9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16351.035452297479</v>
      </c>
      <c r="R17" s="115">
        <f>IF(Operations[[#This Row],[Calc List Price]]=0,0,IF(Operations[[#This Row],[Units per Hour]]*Operations[[#This Row],[Annual Use]]=0,0,(Operations[[#This Row],[Calc Beg Yr. Value]]-Operations[[#This Row],[Calc End Yr. Value]])/(Operations[[#This Row],[Annual Use]])))</f>
        <v>1.6204907619754794</v>
      </c>
      <c r="S17" s="116">
        <f>IF(Operations[[#This Row],[Annual Use]]=0,0,Operations[[#This Row],[Calc Beg Yr. Value]]*'General Variables'!$B$9/Operations[[#This Row],[Annual Use]])</f>
        <v>0.35943052428545919</v>
      </c>
      <c r="T17" s="116">
        <f>IF(Operations[[#This Row],[Annual Use]]=0,0,Operations[[#This Row],[Calc Beg Yr. Value]]*'General Variables'!$B$10/Operations[[#This Row],[Annual Use]])</f>
        <v>0.71886104857091837</v>
      </c>
      <c r="U17" s="116">
        <f>SUM(Operations[[#This Row],[Depreciation per Unit]:[Opportunity Cost per Unit]])</f>
        <v>2.6987823348318569</v>
      </c>
      <c r="W17" s="3" t="s">
        <v>165</v>
      </c>
      <c r="X17" s="3" t="s">
        <v>123</v>
      </c>
      <c r="Y17" s="4" t="s">
        <v>166</v>
      </c>
      <c r="Z17" s="4" t="s">
        <v>133</v>
      </c>
      <c r="AA17" s="6">
        <v>2500</v>
      </c>
      <c r="AK17" s="308"/>
      <c r="AL17" s="308"/>
      <c r="AM17" s="308"/>
    </row>
    <row r="18" spans="1:39" ht="12.75" customHeight="1" x14ac:dyDescent="0.25">
      <c r="A18" s="135" t="s">
        <v>562</v>
      </c>
      <c r="B18" s="136" t="s">
        <v>71</v>
      </c>
      <c r="C18" s="137" t="s">
        <v>337</v>
      </c>
      <c r="D18" s="137" t="s">
        <v>276</v>
      </c>
      <c r="E18" s="148">
        <v>35000</v>
      </c>
      <c r="F18" s="139"/>
      <c r="G18" s="138">
        <v>5</v>
      </c>
      <c r="H18" s="138">
        <v>1000</v>
      </c>
      <c r="I18" s="143">
        <v>7</v>
      </c>
      <c r="J18" s="141">
        <v>1.1000000000000001</v>
      </c>
      <c r="K18" s="137" t="s">
        <v>271</v>
      </c>
      <c r="L18" s="139">
        <v>10.5</v>
      </c>
      <c r="M18" s="142"/>
      <c r="N18" s="9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35000</v>
      </c>
      <c r="O18" s="11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1.0091517592780126</v>
      </c>
      <c r="P18" s="9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20378.520621381245</v>
      </c>
      <c r="Q18" s="9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18540.991409007056</v>
      </c>
      <c r="R18" s="115">
        <f>IF(Operations[[#This Row],[Calc List Price]]=0,0,IF(Operations[[#This Row],[Units per Hour]]*Operations[[#This Row],[Annual Use]]=0,0,(Operations[[#This Row],[Calc Beg Yr. Value]]-Operations[[#This Row],[Calc End Yr. Value]])/(Operations[[#This Row],[Annual Use]])))</f>
        <v>1.8375292123741893</v>
      </c>
      <c r="S18" s="116">
        <f>IF(Operations[[#This Row],[Annual Use]]=0,0,Operations[[#This Row],[Calc Beg Yr. Value]]*'General Variables'!$B$9/Operations[[#This Row],[Annual Use]])</f>
        <v>0.40757041242762487</v>
      </c>
      <c r="T18" s="116">
        <f>IF(Operations[[#This Row],[Annual Use]]=0,0,Operations[[#This Row],[Calc Beg Yr. Value]]*'General Variables'!$B$10/Operations[[#This Row],[Annual Use]])</f>
        <v>0.81514082485524975</v>
      </c>
      <c r="U18" s="116">
        <f>SUM(Operations[[#This Row],[Depreciation per Unit]:[Opportunity Cost per Unit]])</f>
        <v>3.0602404496570639</v>
      </c>
      <c r="W18" s="3" t="s">
        <v>169</v>
      </c>
      <c r="X18" s="3" t="s">
        <v>138</v>
      </c>
      <c r="Y18" s="4" t="s">
        <v>150</v>
      </c>
      <c r="Z18" s="4" t="s">
        <v>136</v>
      </c>
      <c r="AA18" s="6">
        <v>2000</v>
      </c>
      <c r="AK18" s="308"/>
      <c r="AL18" s="308"/>
      <c r="AM18" s="308"/>
    </row>
    <row r="19" spans="1:39" ht="12.75" customHeight="1" x14ac:dyDescent="0.25">
      <c r="A19" s="135" t="s">
        <v>447</v>
      </c>
      <c r="B19" s="136" t="s">
        <v>71</v>
      </c>
      <c r="C19" s="137" t="s">
        <v>338</v>
      </c>
      <c r="D19" s="137" t="s">
        <v>356</v>
      </c>
      <c r="E19" s="138">
        <v>29000</v>
      </c>
      <c r="F19" s="139"/>
      <c r="G19" s="138">
        <v>5</v>
      </c>
      <c r="H19" s="138">
        <v>300</v>
      </c>
      <c r="I19" s="143">
        <v>7.0212765957446823</v>
      </c>
      <c r="J19" s="141">
        <v>1.1000000000000001</v>
      </c>
      <c r="K19" s="137" t="s">
        <v>470</v>
      </c>
      <c r="L19" s="139">
        <v>4.3882978723404262</v>
      </c>
      <c r="M19" s="142"/>
      <c r="N19" s="9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29000</v>
      </c>
      <c r="O19" s="11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0.87449437609171321</v>
      </c>
      <c r="P19" s="9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12065.941696464242</v>
      </c>
      <c r="Q19" s="9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11203.628597969602</v>
      </c>
      <c r="R19" s="115">
        <f>IF(Operations[[#This Row],[Calc List Price]]=0,0,IF(Operations[[#This Row],[Units per Hour]]*Operations[[#This Row],[Annual Use]]=0,0,(Operations[[#This Row],[Calc Beg Yr. Value]]-Operations[[#This Row],[Calc End Yr. Value]])/(Operations[[#This Row],[Annual Use]])))</f>
        <v>2.8743769949821338</v>
      </c>
      <c r="S19" s="116">
        <f>IF(Operations[[#This Row],[Annual Use]]=0,0,Operations[[#This Row],[Calc Beg Yr. Value]]*'General Variables'!$B$9/Operations[[#This Row],[Annual Use]])</f>
        <v>0.80439611309761616</v>
      </c>
      <c r="T19" s="116">
        <f>IF(Operations[[#This Row],[Annual Use]]=0,0,Operations[[#This Row],[Calc Beg Yr. Value]]*'General Variables'!$B$10/Operations[[#This Row],[Annual Use]])</f>
        <v>1.6087922261952323</v>
      </c>
      <c r="U19" s="116">
        <f>SUM(Operations[[#This Row],[Depreciation per Unit]:[Opportunity Cost per Unit]])</f>
        <v>5.2875653342749827</v>
      </c>
      <c r="W19" s="3" t="s">
        <v>170</v>
      </c>
      <c r="X19" s="3" t="s">
        <v>123</v>
      </c>
      <c r="Y19" s="4" t="s">
        <v>171</v>
      </c>
      <c r="Z19" s="4" t="s">
        <v>156</v>
      </c>
      <c r="AA19" s="6">
        <v>2000</v>
      </c>
      <c r="AK19" s="308"/>
      <c r="AL19" s="308"/>
      <c r="AM19" s="308"/>
    </row>
    <row r="20" spans="1:39" ht="12.75" customHeight="1" x14ac:dyDescent="0.25">
      <c r="A20" s="135" t="s">
        <v>290</v>
      </c>
      <c r="B20" s="136" t="s">
        <v>71</v>
      </c>
      <c r="C20" s="137" t="s">
        <v>339</v>
      </c>
      <c r="D20" s="137" t="s">
        <v>356</v>
      </c>
      <c r="E20" s="138">
        <v>39688</v>
      </c>
      <c r="F20" s="139"/>
      <c r="G20" s="138">
        <v>5</v>
      </c>
      <c r="H20" s="138">
        <v>2000</v>
      </c>
      <c r="I20" s="145">
        <v>10.90909090909091</v>
      </c>
      <c r="J20" s="141">
        <v>1.1000000000000001</v>
      </c>
      <c r="K20" s="137" t="s">
        <v>469</v>
      </c>
      <c r="L20" s="139">
        <v>8.290909090909091</v>
      </c>
      <c r="M20" s="142"/>
      <c r="N20" s="9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39688</v>
      </c>
      <c r="O20" s="11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1.1194099693616886</v>
      </c>
      <c r="P20" s="9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16512.86531204389</v>
      </c>
      <c r="Q20" s="9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15332.745234352329</v>
      </c>
      <c r="R20" s="115">
        <f>IF(Operations[[#This Row],[Calc List Price]]=0,0,IF(Operations[[#This Row],[Units per Hour]]*Operations[[#This Row],[Annual Use]]=0,0,(Operations[[#This Row],[Calc Beg Yr. Value]]-Operations[[#This Row],[Calc End Yr. Value]])/(Operations[[#This Row],[Annual Use]])))</f>
        <v>0.59006003884578062</v>
      </c>
      <c r="S20" s="116">
        <f>IF(Operations[[#This Row],[Annual Use]]=0,0,Operations[[#This Row],[Calc Beg Yr. Value]]*'General Variables'!$B$9/Operations[[#This Row],[Annual Use]])</f>
        <v>0.16512865312043892</v>
      </c>
      <c r="T20" s="116">
        <f>IF(Operations[[#This Row],[Annual Use]]=0,0,Operations[[#This Row],[Calc Beg Yr. Value]]*'General Variables'!$B$10/Operations[[#This Row],[Annual Use]])</f>
        <v>0.33025730624087785</v>
      </c>
      <c r="U20" s="116">
        <f>SUM(Operations[[#This Row],[Depreciation per Unit]:[Opportunity Cost per Unit]])</f>
        <v>1.0854459982070974</v>
      </c>
      <c r="W20" s="3" t="s">
        <v>172</v>
      </c>
      <c r="X20" s="3" t="s">
        <v>123</v>
      </c>
      <c r="Y20" s="4" t="s">
        <v>173</v>
      </c>
      <c r="Z20" s="4" t="s">
        <v>119</v>
      </c>
      <c r="AA20" s="6">
        <v>2000</v>
      </c>
      <c r="AK20" s="119"/>
      <c r="AL20" s="119"/>
      <c r="AM20" s="119"/>
    </row>
    <row r="21" spans="1:39" ht="12.75" customHeight="1" x14ac:dyDescent="0.25">
      <c r="A21" s="135" t="s">
        <v>291</v>
      </c>
      <c r="B21" s="136" t="s">
        <v>445</v>
      </c>
      <c r="C21" s="136"/>
      <c r="D21" s="136"/>
      <c r="E21" s="138"/>
      <c r="F21" s="139"/>
      <c r="G21" s="138">
        <v>5</v>
      </c>
      <c r="H21" s="138">
        <v>1000</v>
      </c>
      <c r="I21" s="143">
        <v>1.8</v>
      </c>
      <c r="J21" s="149">
        <v>0.1</v>
      </c>
      <c r="K21" s="137" t="s">
        <v>458</v>
      </c>
      <c r="L21" s="139">
        <v>0</v>
      </c>
      <c r="M21" s="142"/>
      <c r="N21" s="9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21" s="11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21" s="9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21" s="9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21" s="115">
        <f>IF(Operations[[#This Row],[Calc List Price]]=0,0,IF(Operations[[#This Row],[Units per Hour]]*Operations[[#This Row],[Annual Use]]=0,0,(Operations[[#This Row],[Calc Beg Yr. Value]]-Operations[[#This Row],[Calc End Yr. Value]])/(Operations[[#This Row],[Annual Use]])))</f>
        <v>0</v>
      </c>
      <c r="S21" s="116">
        <f>IF(Operations[[#This Row],[Annual Use]]=0,0,Operations[[#This Row],[Calc Beg Yr. Value]]*'General Variables'!$B$9/Operations[[#This Row],[Annual Use]])</f>
        <v>0</v>
      </c>
      <c r="T21" s="116">
        <f>IF(Operations[[#This Row],[Annual Use]]=0,0,Operations[[#This Row],[Calc Beg Yr. Value]]*'General Variables'!$B$10/Operations[[#This Row],[Annual Use]])</f>
        <v>0</v>
      </c>
      <c r="U21" s="116">
        <f>SUM(Operations[[#This Row],[Depreciation per Unit]:[Opportunity Cost per Unit]])</f>
        <v>0</v>
      </c>
      <c r="W21" s="3" t="s">
        <v>174</v>
      </c>
      <c r="X21" s="3" t="s">
        <v>123</v>
      </c>
      <c r="Y21" s="4" t="s">
        <v>155</v>
      </c>
      <c r="Z21" s="4" t="s">
        <v>133</v>
      </c>
      <c r="AA21" s="5">
        <v>2500</v>
      </c>
    </row>
    <row r="22" spans="1:39" ht="12.75" customHeight="1" x14ac:dyDescent="0.25">
      <c r="A22" s="135" t="s">
        <v>292</v>
      </c>
      <c r="B22" s="136" t="s">
        <v>71</v>
      </c>
      <c r="C22" s="137" t="s">
        <v>340</v>
      </c>
      <c r="D22" s="137" t="s">
        <v>331</v>
      </c>
      <c r="E22" s="144">
        <v>7187</v>
      </c>
      <c r="F22" s="139"/>
      <c r="G22" s="138">
        <v>20</v>
      </c>
      <c r="H22" s="138">
        <v>300</v>
      </c>
      <c r="I22" s="143">
        <v>20</v>
      </c>
      <c r="J22" s="141">
        <v>1.1000000000000001</v>
      </c>
      <c r="K22" s="137" t="s">
        <v>470</v>
      </c>
      <c r="L22" s="139">
        <v>2.1070422535211271</v>
      </c>
      <c r="M22" s="142"/>
      <c r="N22" s="9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7187</v>
      </c>
      <c r="O22" s="11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5.336079836303572E-2</v>
      </c>
      <c r="P22" s="9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1059.9629345263218</v>
      </c>
      <c r="Q22" s="9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1005.2114640884894</v>
      </c>
      <c r="R22" s="115">
        <f>IF(Operations[[#This Row],[Calc List Price]]=0,0,IF(Operations[[#This Row],[Units per Hour]]*Operations[[#This Row],[Annual Use]]=0,0,(Operations[[#This Row],[Calc Beg Yr. Value]]-Operations[[#This Row],[Calc End Yr. Value]])/(Operations[[#This Row],[Annual Use]])))</f>
        <v>0.18250490145944126</v>
      </c>
      <c r="S22" s="116">
        <f>IF(Operations[[#This Row],[Annual Use]]=0,0,Operations[[#This Row],[Calc Beg Yr. Value]]*'General Variables'!$B$9/Operations[[#This Row],[Annual Use]])</f>
        <v>7.066419563508812E-2</v>
      </c>
      <c r="T22" s="116">
        <f>IF(Operations[[#This Row],[Annual Use]]=0,0,Operations[[#This Row],[Calc Beg Yr. Value]]*'General Variables'!$B$10/Operations[[#This Row],[Annual Use]])</f>
        <v>0.14132839127017624</v>
      </c>
      <c r="U22" s="116">
        <f>SUM(Operations[[#This Row],[Depreciation per Unit]:[Opportunity Cost per Unit]])</f>
        <v>0.39449748836470566</v>
      </c>
      <c r="W22" s="3" t="s">
        <v>175</v>
      </c>
      <c r="X22" s="3" t="s">
        <v>123</v>
      </c>
      <c r="Y22" s="4" t="s">
        <v>176</v>
      </c>
      <c r="Z22" s="4" t="s">
        <v>119</v>
      </c>
      <c r="AA22" s="6">
        <v>2500</v>
      </c>
    </row>
    <row r="23" spans="1:39" ht="12.75" customHeight="1" x14ac:dyDescent="0.25">
      <c r="A23" s="135" t="s">
        <v>293</v>
      </c>
      <c r="B23" s="136" t="s">
        <v>71</v>
      </c>
      <c r="C23" s="137" t="s">
        <v>341</v>
      </c>
      <c r="D23" s="137" t="s">
        <v>358</v>
      </c>
      <c r="E23" s="138">
        <v>62454</v>
      </c>
      <c r="F23" s="139"/>
      <c r="G23" s="138">
        <v>10</v>
      </c>
      <c r="H23" s="138">
        <v>1000</v>
      </c>
      <c r="I23" s="145">
        <v>12.5</v>
      </c>
      <c r="J23" s="141">
        <v>1.1000000000000001</v>
      </c>
      <c r="K23" s="137" t="s">
        <v>470</v>
      </c>
      <c r="L23" s="139">
        <v>4.9866666666666672</v>
      </c>
      <c r="M23" s="142"/>
      <c r="N23" s="9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62454</v>
      </c>
      <c r="O23" s="11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2.7716908704705308</v>
      </c>
      <c r="P23" s="9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25289.596701659491</v>
      </c>
      <c r="Q23" s="9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24341.731813487386</v>
      </c>
      <c r="R23" s="115">
        <f>IF(Operations[[#This Row],[Calc List Price]]=0,0,IF(Operations[[#This Row],[Units per Hour]]*Operations[[#This Row],[Annual Use]]=0,0,(Operations[[#This Row],[Calc Beg Yr. Value]]-Operations[[#This Row],[Calc End Yr. Value]])/(Operations[[#This Row],[Annual Use]])))</f>
        <v>0.94786488817210557</v>
      </c>
      <c r="S23" s="116">
        <f>IF(Operations[[#This Row],[Annual Use]]=0,0,Operations[[#This Row],[Calc Beg Yr. Value]]*'General Variables'!$B$9/Operations[[#This Row],[Annual Use]])</f>
        <v>0.50579193403318978</v>
      </c>
      <c r="T23" s="116">
        <f>IF(Operations[[#This Row],[Annual Use]]=0,0,Operations[[#This Row],[Calc Beg Yr. Value]]*'General Variables'!$B$10/Operations[[#This Row],[Annual Use]])</f>
        <v>1.0115838680663796</v>
      </c>
      <c r="U23" s="116">
        <f>SUM(Operations[[#This Row],[Depreciation per Unit]:[Opportunity Cost per Unit]])</f>
        <v>2.465240690271675</v>
      </c>
      <c r="W23" s="3" t="s">
        <v>177</v>
      </c>
      <c r="X23" s="3" t="s">
        <v>138</v>
      </c>
      <c r="Y23" s="4" t="s">
        <v>176</v>
      </c>
      <c r="Z23" s="4" t="s">
        <v>162</v>
      </c>
      <c r="AA23" s="6">
        <v>2000</v>
      </c>
    </row>
    <row r="24" spans="1:39" ht="12.75" customHeight="1" x14ac:dyDescent="0.25">
      <c r="A24" s="135" t="s">
        <v>531</v>
      </c>
      <c r="B24" s="136" t="s">
        <v>71</v>
      </c>
      <c r="C24" s="137" t="s">
        <v>341</v>
      </c>
      <c r="D24" s="137" t="s">
        <v>358</v>
      </c>
      <c r="E24" s="138">
        <v>62454</v>
      </c>
      <c r="F24" s="139"/>
      <c r="G24" s="138">
        <v>10</v>
      </c>
      <c r="H24" s="138">
        <v>1000</v>
      </c>
      <c r="I24" s="140">
        <v>11</v>
      </c>
      <c r="J24" s="141">
        <v>1.2</v>
      </c>
      <c r="K24" s="137" t="s">
        <v>470</v>
      </c>
      <c r="L24" s="139">
        <v>5</v>
      </c>
      <c r="M24" s="142"/>
      <c r="N24" s="9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62454</v>
      </c>
      <c r="O24" s="11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3.6251933930499831</v>
      </c>
      <c r="P24" s="9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25289.596701659491</v>
      </c>
      <c r="Q24" s="9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24341.731813487386</v>
      </c>
      <c r="R24" s="115">
        <f>IF(Operations[[#This Row],[Calc List Price]]=0,0,IF(Operations[[#This Row],[Units per Hour]]*Operations[[#This Row],[Annual Use]]=0,0,(Operations[[#This Row],[Calc Beg Yr. Value]]-Operations[[#This Row],[Calc End Yr. Value]])/(Operations[[#This Row],[Annual Use]])))</f>
        <v>0.94786488817210557</v>
      </c>
      <c r="S24" s="116">
        <f>IF(Operations[[#This Row],[Annual Use]]=0,0,Operations[[#This Row],[Calc Beg Yr. Value]]*'General Variables'!$B$9/Operations[[#This Row],[Annual Use]])</f>
        <v>0.50579193403318978</v>
      </c>
      <c r="T24" s="116">
        <f>IF(Operations[[#This Row],[Annual Use]]=0,0,Operations[[#This Row],[Calc Beg Yr. Value]]*'General Variables'!$B$10/Operations[[#This Row],[Annual Use]])</f>
        <v>1.0115838680663796</v>
      </c>
      <c r="U24" s="116">
        <f>SUM(Operations[[#This Row],[Depreciation per Unit]:[Opportunity Cost per Unit]])</f>
        <v>2.465240690271675</v>
      </c>
      <c r="W24" s="3" t="s">
        <v>178</v>
      </c>
      <c r="X24" s="3" t="s">
        <v>138</v>
      </c>
      <c r="Y24" s="4" t="s">
        <v>159</v>
      </c>
      <c r="Z24" s="4" t="s">
        <v>144</v>
      </c>
      <c r="AA24" s="6">
        <v>1500</v>
      </c>
    </row>
    <row r="25" spans="1:39" ht="12.75" customHeight="1" x14ac:dyDescent="0.25">
      <c r="A25" s="135" t="s">
        <v>294</v>
      </c>
      <c r="B25" s="136" t="s">
        <v>438</v>
      </c>
      <c r="C25" s="136"/>
      <c r="D25" s="136"/>
      <c r="E25" s="138"/>
      <c r="F25" s="139"/>
      <c r="G25" s="138"/>
      <c r="H25" s="138"/>
      <c r="I25" s="143" t="s">
        <v>397</v>
      </c>
      <c r="J25" s="141"/>
      <c r="K25" s="137"/>
      <c r="L25" s="139" t="s">
        <v>397</v>
      </c>
      <c r="M25" s="142"/>
      <c r="N25" s="9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25" s="11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25" s="9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25" s="9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25" s="115">
        <f>IF(Operations[[#This Row],[Calc List Price]]=0,0,IF(Operations[[#This Row],[Units per Hour]]*Operations[[#This Row],[Annual Use]]=0,0,(Operations[[#This Row],[Calc Beg Yr. Value]]-Operations[[#This Row],[Calc End Yr. Value]])/(Operations[[#This Row],[Annual Use]])))</f>
        <v>0</v>
      </c>
      <c r="S25" s="116">
        <f>IF(Operations[[#This Row],[Annual Use]]=0,0,Operations[[#This Row],[Calc Beg Yr. Value]]*'General Variables'!$B$9/Operations[[#This Row],[Annual Use]])</f>
        <v>0</v>
      </c>
      <c r="T25" s="116">
        <f>IF(Operations[[#This Row],[Annual Use]]=0,0,Operations[[#This Row],[Calc Beg Yr. Value]]*'General Variables'!$B$10/Operations[[#This Row],[Annual Use]])</f>
        <v>0</v>
      </c>
      <c r="U25" s="116">
        <f>SUM(Operations[[#This Row],[Depreciation per Unit]:[Opportunity Cost per Unit]])</f>
        <v>0</v>
      </c>
      <c r="W25" s="3" t="s">
        <v>179</v>
      </c>
      <c r="X25" s="3" t="s">
        <v>138</v>
      </c>
      <c r="Y25" s="4" t="s">
        <v>180</v>
      </c>
      <c r="Z25" s="4" t="s">
        <v>125</v>
      </c>
      <c r="AA25" s="5">
        <v>2000</v>
      </c>
    </row>
    <row r="26" spans="1:39" ht="12.75" customHeight="1" x14ac:dyDescent="0.25">
      <c r="A26" s="135" t="s">
        <v>295</v>
      </c>
      <c r="B26" s="136" t="s">
        <v>71</v>
      </c>
      <c r="C26" s="137" t="s">
        <v>342</v>
      </c>
      <c r="D26" s="137" t="s">
        <v>356</v>
      </c>
      <c r="E26" s="138">
        <v>56958</v>
      </c>
      <c r="F26" s="139"/>
      <c r="G26" s="138">
        <v>5</v>
      </c>
      <c r="H26" s="138">
        <v>2000</v>
      </c>
      <c r="I26" s="143">
        <v>12.5</v>
      </c>
      <c r="J26" s="141">
        <v>1.1000000000000001</v>
      </c>
      <c r="K26" s="137" t="s">
        <v>469</v>
      </c>
      <c r="L26" s="139">
        <v>8.6225806451612925</v>
      </c>
      <c r="M26" s="142"/>
      <c r="N26" s="9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56958</v>
      </c>
      <c r="O26" s="11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0.91185750135427124</v>
      </c>
      <c r="P26" s="9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23698.341625765872</v>
      </c>
      <c r="Q26" s="9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22004.699230453538</v>
      </c>
      <c r="R26" s="115">
        <f>IF(Operations[[#This Row],[Calc List Price]]=0,0,IF(Operations[[#This Row],[Units per Hour]]*Operations[[#This Row],[Annual Use]]=0,0,(Operations[[#This Row],[Calc Beg Yr. Value]]-Operations[[#This Row],[Calc End Yr. Value]])/(Operations[[#This Row],[Annual Use]])))</f>
        <v>0.84682119765616704</v>
      </c>
      <c r="S26" s="116">
        <f>IF(Operations[[#This Row],[Annual Use]]=0,0,Operations[[#This Row],[Calc Beg Yr. Value]]*'General Variables'!$B$9/Operations[[#This Row],[Annual Use]])</f>
        <v>0.23698341625765873</v>
      </c>
      <c r="T26" s="116">
        <f>IF(Operations[[#This Row],[Annual Use]]=0,0,Operations[[#This Row],[Calc Beg Yr. Value]]*'General Variables'!$B$10/Operations[[#This Row],[Annual Use]])</f>
        <v>0.47396683251531746</v>
      </c>
      <c r="U26" s="116">
        <f>SUM(Operations[[#This Row],[Depreciation per Unit]:[Opportunity Cost per Unit]])</f>
        <v>1.5577714464291432</v>
      </c>
      <c r="W26" s="3" t="s">
        <v>181</v>
      </c>
      <c r="X26" s="3" t="s">
        <v>123</v>
      </c>
      <c r="Y26" s="4" t="s">
        <v>182</v>
      </c>
      <c r="Z26" s="4" t="s">
        <v>136</v>
      </c>
      <c r="AA26" s="6">
        <v>2500</v>
      </c>
    </row>
    <row r="27" spans="1:39" ht="12.75" customHeight="1" x14ac:dyDescent="0.25">
      <c r="A27" s="135" t="s">
        <v>296</v>
      </c>
      <c r="B27" s="136" t="s">
        <v>71</v>
      </c>
      <c r="C27" s="137" t="s">
        <v>338</v>
      </c>
      <c r="D27" s="137" t="s">
        <v>356</v>
      </c>
      <c r="E27" s="138">
        <v>56958</v>
      </c>
      <c r="F27" s="139"/>
      <c r="G27" s="138">
        <v>5</v>
      </c>
      <c r="H27" s="138">
        <v>2000</v>
      </c>
      <c r="I27" s="143">
        <v>15</v>
      </c>
      <c r="J27" s="141">
        <v>1.1000000000000001</v>
      </c>
      <c r="K27" s="137" t="s">
        <v>470</v>
      </c>
      <c r="L27" s="139">
        <v>8.1967741935483875</v>
      </c>
      <c r="M27" s="142"/>
      <c r="N27" s="9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56958</v>
      </c>
      <c r="O27" s="11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1.2674534054995306</v>
      </c>
      <c r="P27" s="9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23698.341625765872</v>
      </c>
      <c r="Q27" s="9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22004.699230453538</v>
      </c>
      <c r="R27" s="115">
        <f>IF(Operations[[#This Row],[Calc List Price]]=0,0,IF(Operations[[#This Row],[Units per Hour]]*Operations[[#This Row],[Annual Use]]=0,0,(Operations[[#This Row],[Calc Beg Yr. Value]]-Operations[[#This Row],[Calc End Yr. Value]])/(Operations[[#This Row],[Annual Use]])))</f>
        <v>0.84682119765616704</v>
      </c>
      <c r="S27" s="116">
        <f>IF(Operations[[#This Row],[Annual Use]]=0,0,Operations[[#This Row],[Calc Beg Yr. Value]]*'General Variables'!$B$9/Operations[[#This Row],[Annual Use]])</f>
        <v>0.23698341625765873</v>
      </c>
      <c r="T27" s="116">
        <f>IF(Operations[[#This Row],[Annual Use]]=0,0,Operations[[#This Row],[Calc Beg Yr. Value]]*'General Variables'!$B$10/Operations[[#This Row],[Annual Use]])</f>
        <v>0.47396683251531746</v>
      </c>
      <c r="U27" s="116">
        <f>SUM(Operations[[#This Row],[Depreciation per Unit]:[Opportunity Cost per Unit]])</f>
        <v>1.5577714464291432</v>
      </c>
      <c r="W27" s="3" t="s">
        <v>183</v>
      </c>
      <c r="X27" s="3" t="s">
        <v>123</v>
      </c>
      <c r="Y27" s="4" t="s">
        <v>152</v>
      </c>
      <c r="Z27" s="4" t="s">
        <v>136</v>
      </c>
      <c r="AA27" s="6">
        <v>2500</v>
      </c>
    </row>
    <row r="28" spans="1:39" ht="12.75" customHeight="1" x14ac:dyDescent="0.25">
      <c r="A28" s="135" t="s">
        <v>33</v>
      </c>
      <c r="B28" s="136" t="s">
        <v>71</v>
      </c>
      <c r="C28" s="136" t="s">
        <v>341</v>
      </c>
      <c r="D28" s="136" t="s">
        <v>358</v>
      </c>
      <c r="E28" s="138">
        <v>73000</v>
      </c>
      <c r="F28" s="139"/>
      <c r="G28" s="138">
        <v>10</v>
      </c>
      <c r="H28" s="138">
        <v>1000</v>
      </c>
      <c r="I28" s="143">
        <v>9</v>
      </c>
      <c r="J28" s="141">
        <v>1.1000000000000001</v>
      </c>
      <c r="K28" s="137" t="s">
        <v>470</v>
      </c>
      <c r="L28" s="139">
        <v>4.2936802973977706</v>
      </c>
      <c r="M28" s="142"/>
      <c r="N28" s="9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73000</v>
      </c>
      <c r="O28" s="11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6.4581651991214715</v>
      </c>
      <c r="P28" s="9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29560.005111300201</v>
      </c>
      <c r="Q28" s="9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28452.083491603084</v>
      </c>
      <c r="R28" s="115">
        <f>IF(Operations[[#This Row],[Calc List Price]]=0,0,IF(Operations[[#This Row],[Units per Hour]]*Operations[[#This Row],[Annual Use]]=0,0,(Operations[[#This Row],[Calc Beg Yr. Value]]-Operations[[#This Row],[Calc End Yr. Value]])/(Operations[[#This Row],[Annual Use]])))</f>
        <v>1.1079216196971173</v>
      </c>
      <c r="S28" s="116">
        <f>IF(Operations[[#This Row],[Annual Use]]=0,0,Operations[[#This Row],[Calc Beg Yr. Value]]*'General Variables'!$B$9/Operations[[#This Row],[Annual Use]])</f>
        <v>0.59120010222600394</v>
      </c>
      <c r="T28" s="116">
        <f>IF(Operations[[#This Row],[Annual Use]]=0,0,Operations[[#This Row],[Calc Beg Yr. Value]]*'General Variables'!$B$10/Operations[[#This Row],[Annual Use]])</f>
        <v>1.1824002044520079</v>
      </c>
      <c r="U28" s="116">
        <f>SUM(Operations[[#This Row],[Depreciation per Unit]:[Opportunity Cost per Unit]])</f>
        <v>2.8815219263751288</v>
      </c>
      <c r="W28" s="3" t="s">
        <v>184</v>
      </c>
      <c r="X28" s="3" t="s">
        <v>138</v>
      </c>
      <c r="Y28" s="4" t="s">
        <v>176</v>
      </c>
      <c r="Z28" s="4" t="s">
        <v>162</v>
      </c>
      <c r="AA28" s="6">
        <v>2000</v>
      </c>
    </row>
    <row r="29" spans="1:39" ht="12.75" customHeight="1" x14ac:dyDescent="0.25">
      <c r="A29" s="135" t="s">
        <v>297</v>
      </c>
      <c r="B29" s="136" t="s">
        <v>71</v>
      </c>
      <c r="C29" s="137" t="s">
        <v>343</v>
      </c>
      <c r="D29" s="137" t="s">
        <v>356</v>
      </c>
      <c r="E29" s="138"/>
      <c r="F29" s="139"/>
      <c r="G29" s="138">
        <v>5</v>
      </c>
      <c r="H29" s="138">
        <v>1000</v>
      </c>
      <c r="I29" s="143">
        <v>18.591549295774648</v>
      </c>
      <c r="J29" s="141">
        <v>1.1000000000000001</v>
      </c>
      <c r="K29" s="137" t="s">
        <v>470</v>
      </c>
      <c r="L29" s="139">
        <v>2.0450704225352112</v>
      </c>
      <c r="M29" s="142"/>
      <c r="N29" s="9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29" s="11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29" s="9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29" s="9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29" s="115">
        <f>IF(Operations[[#This Row],[Calc List Price]]=0,0,IF(Operations[[#This Row],[Units per Hour]]*Operations[[#This Row],[Annual Use]]=0,0,(Operations[[#This Row],[Calc Beg Yr. Value]]-Operations[[#This Row],[Calc End Yr. Value]])/(Operations[[#This Row],[Annual Use]])))</f>
        <v>0</v>
      </c>
      <c r="S29" s="116">
        <f>IF(Operations[[#This Row],[Annual Use]]=0,0,Operations[[#This Row],[Calc Beg Yr. Value]]*'General Variables'!$B$9/Operations[[#This Row],[Annual Use]])</f>
        <v>0</v>
      </c>
      <c r="T29" s="116">
        <f>IF(Operations[[#This Row],[Annual Use]]=0,0,Operations[[#This Row],[Calc Beg Yr. Value]]*'General Variables'!$B$10/Operations[[#This Row],[Annual Use]])</f>
        <v>0</v>
      </c>
      <c r="U29" s="116">
        <f>SUM(Operations[[#This Row],[Depreciation per Unit]:[Opportunity Cost per Unit]])</f>
        <v>0</v>
      </c>
      <c r="W29" s="3" t="s">
        <v>185</v>
      </c>
      <c r="X29" s="3" t="s">
        <v>138</v>
      </c>
      <c r="Y29" s="4" t="s">
        <v>129</v>
      </c>
      <c r="Z29" s="4" t="s">
        <v>136</v>
      </c>
      <c r="AA29" s="6">
        <v>2000</v>
      </c>
    </row>
    <row r="30" spans="1:39" ht="12.75" customHeight="1" x14ac:dyDescent="0.25">
      <c r="A30" s="135" t="s">
        <v>298</v>
      </c>
      <c r="B30" s="136" t="s">
        <v>71</v>
      </c>
      <c r="C30" s="137" t="s">
        <v>345</v>
      </c>
      <c r="D30" s="137" t="s">
        <v>356</v>
      </c>
      <c r="E30" s="138">
        <v>22000</v>
      </c>
      <c r="F30" s="139">
        <v>3000</v>
      </c>
      <c r="G30" s="138">
        <v>5</v>
      </c>
      <c r="H30" s="138">
        <v>1000</v>
      </c>
      <c r="I30" s="143">
        <v>14.666666666666668</v>
      </c>
      <c r="J30" s="141">
        <v>1.1000000000000001</v>
      </c>
      <c r="K30" s="137" t="s">
        <v>470</v>
      </c>
      <c r="L30" s="139">
        <v>3.666666666666667</v>
      </c>
      <c r="M30" s="142"/>
      <c r="N30" s="9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22000</v>
      </c>
      <c r="O30" s="11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0.32614880979104605</v>
      </c>
      <c r="P30" s="9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9153.4730111108056</v>
      </c>
      <c r="Q30" s="9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8499.3044536321122</v>
      </c>
      <c r="R30" s="115">
        <f>IF(Operations[[#This Row],[Calc List Price]]=0,0,IF(Operations[[#This Row],[Units per Hour]]*Operations[[#This Row],[Annual Use]]=0,0,(Operations[[#This Row],[Calc Beg Yr. Value]]-Operations[[#This Row],[Calc End Yr. Value]])/(Operations[[#This Row],[Annual Use]])))</f>
        <v>0.6541685574786934</v>
      </c>
      <c r="S30" s="116">
        <f>IF(Operations[[#This Row],[Annual Use]]=0,0,Operations[[#This Row],[Calc Beg Yr. Value]]*'General Variables'!$B$9/Operations[[#This Row],[Annual Use]])</f>
        <v>0.18306946022221612</v>
      </c>
      <c r="T30" s="116">
        <f>IF(Operations[[#This Row],[Annual Use]]=0,0,Operations[[#This Row],[Calc Beg Yr. Value]]*'General Variables'!$B$10/Operations[[#This Row],[Annual Use]])</f>
        <v>0.36613892044443225</v>
      </c>
      <c r="U30" s="116">
        <f>SUM(Operations[[#This Row],[Depreciation per Unit]:[Opportunity Cost per Unit]])</f>
        <v>1.2033769381453419</v>
      </c>
      <c r="W30" s="3" t="s">
        <v>186</v>
      </c>
      <c r="X30" s="3" t="s">
        <v>138</v>
      </c>
      <c r="Y30" s="4" t="s">
        <v>187</v>
      </c>
      <c r="Z30" s="4" t="s">
        <v>119</v>
      </c>
      <c r="AA30" s="6">
        <v>1500</v>
      </c>
    </row>
    <row r="31" spans="1:39" ht="12.75" customHeight="1" x14ac:dyDescent="0.25">
      <c r="A31" s="135" t="s">
        <v>299</v>
      </c>
      <c r="B31" s="136" t="s">
        <v>64</v>
      </c>
      <c r="C31" s="137" t="s">
        <v>346</v>
      </c>
      <c r="D31" s="137" t="s">
        <v>359</v>
      </c>
      <c r="E31" s="138">
        <v>21396</v>
      </c>
      <c r="F31" s="139"/>
      <c r="G31" s="138">
        <v>5</v>
      </c>
      <c r="H31" s="138">
        <v>1000</v>
      </c>
      <c r="I31" s="143">
        <v>10</v>
      </c>
      <c r="J31" s="141">
        <v>1.1000000000000001</v>
      </c>
      <c r="K31" s="137" t="s">
        <v>470</v>
      </c>
      <c r="L31" s="139">
        <v>2.8761467889908259</v>
      </c>
      <c r="M31" s="142"/>
      <c r="N31" s="9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21396</v>
      </c>
      <c r="O31" s="11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1.0262847461477052</v>
      </c>
      <c r="P31" s="9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8388.7887045008483</v>
      </c>
      <c r="Q31" s="9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7821.1583983229075</v>
      </c>
      <c r="R31" s="115">
        <f>IF(Operations[[#This Row],[Calc List Price]]=0,0,IF(Operations[[#This Row],[Units per Hour]]*Operations[[#This Row],[Annual Use]]=0,0,(Operations[[#This Row],[Calc Beg Yr. Value]]-Operations[[#This Row],[Calc End Yr. Value]])/(Operations[[#This Row],[Annual Use]])))</f>
        <v>0.56763030617794086</v>
      </c>
      <c r="S31" s="116">
        <f>IF(Operations[[#This Row],[Annual Use]]=0,0,Operations[[#This Row],[Calc Beg Yr. Value]]*'General Variables'!$B$9/Operations[[#This Row],[Annual Use]])</f>
        <v>0.16777577409001695</v>
      </c>
      <c r="T31" s="116">
        <f>IF(Operations[[#This Row],[Annual Use]]=0,0,Operations[[#This Row],[Calc Beg Yr. Value]]*'General Variables'!$B$10/Operations[[#This Row],[Annual Use]])</f>
        <v>0.33555154818003391</v>
      </c>
      <c r="U31" s="116">
        <f>SUM(Operations[[#This Row],[Depreciation per Unit]:[Opportunity Cost per Unit]])</f>
        <v>1.0709576284479918</v>
      </c>
      <c r="W31" s="3" t="s">
        <v>188</v>
      </c>
      <c r="X31" s="3" t="s">
        <v>131</v>
      </c>
      <c r="Y31" s="4" t="s">
        <v>132</v>
      </c>
      <c r="Z31" s="4" t="s">
        <v>133</v>
      </c>
      <c r="AA31" s="5">
        <v>2000</v>
      </c>
    </row>
    <row r="32" spans="1:39" ht="12.75" customHeight="1" x14ac:dyDescent="0.25">
      <c r="A32" s="135" t="s">
        <v>300</v>
      </c>
      <c r="B32" s="136" t="s">
        <v>64</v>
      </c>
      <c r="C32" s="137" t="s">
        <v>347</v>
      </c>
      <c r="D32" s="137" t="s">
        <v>359</v>
      </c>
      <c r="E32" s="138">
        <v>113735</v>
      </c>
      <c r="F32" s="139"/>
      <c r="G32" s="138">
        <v>5</v>
      </c>
      <c r="H32" s="138">
        <v>1000</v>
      </c>
      <c r="I32" s="143">
        <v>16</v>
      </c>
      <c r="J32" s="141">
        <v>1.1000000000000001</v>
      </c>
      <c r="K32" s="137" t="s">
        <v>470</v>
      </c>
      <c r="L32" s="139">
        <v>6.1859778597785988</v>
      </c>
      <c r="M32" s="142"/>
      <c r="N32" s="9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113735</v>
      </c>
      <c r="O32" s="11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0.54443369058334867</v>
      </c>
      <c r="P32" s="9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44592.394994690781</v>
      </c>
      <c r="Q32" s="9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41575.035073530373</v>
      </c>
      <c r="R32" s="115">
        <f>IF(Operations[[#This Row],[Calc List Price]]=0,0,IF(Operations[[#This Row],[Units per Hour]]*Operations[[#This Row],[Annual Use]]=0,0,(Operations[[#This Row],[Calc Beg Yr. Value]]-Operations[[#This Row],[Calc End Yr. Value]])/(Operations[[#This Row],[Annual Use]])))</f>
        <v>3.0173599211604087</v>
      </c>
      <c r="S32" s="116">
        <f>IF(Operations[[#This Row],[Annual Use]]=0,0,Operations[[#This Row],[Calc Beg Yr. Value]]*'General Variables'!$B$9/Operations[[#This Row],[Annual Use]])</f>
        <v>0.89184789989381563</v>
      </c>
      <c r="T32" s="116">
        <f>IF(Operations[[#This Row],[Annual Use]]=0,0,Operations[[#This Row],[Calc Beg Yr. Value]]*'General Variables'!$B$10/Operations[[#This Row],[Annual Use]])</f>
        <v>1.7836957997876313</v>
      </c>
      <c r="U32" s="116">
        <f>SUM(Operations[[#This Row],[Depreciation per Unit]:[Opportunity Cost per Unit]])</f>
        <v>5.6929036208418555</v>
      </c>
      <c r="W32" s="3" t="s">
        <v>189</v>
      </c>
      <c r="X32" s="3" t="s">
        <v>131</v>
      </c>
      <c r="Y32" s="4" t="s">
        <v>190</v>
      </c>
      <c r="Z32" s="4" t="s">
        <v>162</v>
      </c>
      <c r="AA32" s="6">
        <v>2500</v>
      </c>
    </row>
    <row r="33" spans="1:27" ht="12.75" customHeight="1" x14ac:dyDescent="0.25">
      <c r="A33" s="135" t="s">
        <v>301</v>
      </c>
      <c r="B33" s="136" t="s">
        <v>71</v>
      </c>
      <c r="C33" s="137" t="s">
        <v>348</v>
      </c>
      <c r="D33" s="137" t="s">
        <v>359</v>
      </c>
      <c r="E33" s="148">
        <v>110000</v>
      </c>
      <c r="F33" s="150"/>
      <c r="G33" s="138">
        <v>5</v>
      </c>
      <c r="H33" s="138">
        <v>1000</v>
      </c>
      <c r="I33" s="143">
        <v>6</v>
      </c>
      <c r="J33" s="141">
        <v>1.1000000000000001</v>
      </c>
      <c r="K33" s="137" t="s">
        <v>469</v>
      </c>
      <c r="L33" s="139">
        <v>6.1906976744186046</v>
      </c>
      <c r="M33" s="142"/>
      <c r="N33" s="9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110000</v>
      </c>
      <c r="O33" s="11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13.695388319300086</v>
      </c>
      <c r="P33" s="9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43128.003248041372</v>
      </c>
      <c r="Q33" s="9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40209.731903884829</v>
      </c>
      <c r="R33" s="115">
        <f>IF(Operations[[#This Row],[Calc List Price]]=0,0,IF(Operations[[#This Row],[Units per Hour]]*Operations[[#This Row],[Annual Use]]=0,0,(Operations[[#This Row],[Calc Beg Yr. Value]]-Operations[[#This Row],[Calc End Yr. Value]])/(Operations[[#This Row],[Annual Use]])))</f>
        <v>2.9182713441565431</v>
      </c>
      <c r="S33" s="116">
        <f>IF(Operations[[#This Row],[Annual Use]]=0,0,Operations[[#This Row],[Calc Beg Yr. Value]]*'General Variables'!$B$9/Operations[[#This Row],[Annual Use]])</f>
        <v>0.86256006496082749</v>
      </c>
      <c r="T33" s="116">
        <f>IF(Operations[[#This Row],[Annual Use]]=0,0,Operations[[#This Row],[Calc Beg Yr. Value]]*'General Variables'!$B$10/Operations[[#This Row],[Annual Use]])</f>
        <v>1.725120129921655</v>
      </c>
      <c r="U33" s="116">
        <f>SUM(Operations[[#This Row],[Depreciation per Unit]:[Opportunity Cost per Unit]])</f>
        <v>5.5059515390390255</v>
      </c>
      <c r="W33" s="3" t="s">
        <v>191</v>
      </c>
      <c r="X33" s="3" t="s">
        <v>131</v>
      </c>
      <c r="Y33" s="4" t="s">
        <v>135</v>
      </c>
      <c r="Z33" s="4" t="s">
        <v>136</v>
      </c>
      <c r="AA33" s="6">
        <v>1200</v>
      </c>
    </row>
    <row r="34" spans="1:27" ht="12.75" customHeight="1" x14ac:dyDescent="0.25">
      <c r="A34" s="135" t="s">
        <v>302</v>
      </c>
      <c r="B34" s="136" t="s">
        <v>64</v>
      </c>
      <c r="C34" s="137" t="s">
        <v>398</v>
      </c>
      <c r="D34" s="137" t="s">
        <v>331</v>
      </c>
      <c r="E34" s="138">
        <v>3971</v>
      </c>
      <c r="F34" s="139"/>
      <c r="G34" s="138">
        <v>5</v>
      </c>
      <c r="H34" s="138">
        <v>3000</v>
      </c>
      <c r="I34" s="143">
        <v>20</v>
      </c>
      <c r="J34" s="141">
        <v>1.1000000000000001</v>
      </c>
      <c r="K34" s="137" t="s">
        <v>470</v>
      </c>
      <c r="L34" s="139">
        <v>4</v>
      </c>
      <c r="M34" s="142"/>
      <c r="N34" s="9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3971</v>
      </c>
      <c r="O34" s="11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4.5272912420475084E-2</v>
      </c>
      <c r="P34" s="9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1370.6985890198296</v>
      </c>
      <c r="Q34" s="9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1281.5749574259589</v>
      </c>
      <c r="R34" s="115">
        <f>IF(Operations[[#This Row],[Calc List Price]]=0,0,IF(Operations[[#This Row],[Units per Hour]]*Operations[[#This Row],[Annual Use]]=0,0,(Operations[[#This Row],[Calc Beg Yr. Value]]-Operations[[#This Row],[Calc End Yr. Value]])/(Operations[[#This Row],[Annual Use]])))</f>
        <v>2.9707877197956881E-2</v>
      </c>
      <c r="S34" s="116">
        <f>IF(Operations[[#This Row],[Annual Use]]=0,0,Operations[[#This Row],[Calc Beg Yr. Value]]*'General Variables'!$B$9/Operations[[#This Row],[Annual Use]])</f>
        <v>9.1379905934655305E-3</v>
      </c>
      <c r="T34" s="116">
        <f>IF(Operations[[#This Row],[Annual Use]]=0,0,Operations[[#This Row],[Calc Beg Yr. Value]]*'General Variables'!$B$10/Operations[[#This Row],[Annual Use]])</f>
        <v>1.8275981186931061E-2</v>
      </c>
      <c r="U34" s="116">
        <f>SUM(Operations[[#This Row],[Depreciation per Unit]:[Opportunity Cost per Unit]])</f>
        <v>5.7121848978353471E-2</v>
      </c>
      <c r="W34" s="3" t="s">
        <v>192</v>
      </c>
      <c r="X34" s="3" t="s">
        <v>123</v>
      </c>
      <c r="Y34" s="4" t="s">
        <v>193</v>
      </c>
      <c r="Z34" s="4" t="s">
        <v>162</v>
      </c>
      <c r="AA34" s="6">
        <v>1500</v>
      </c>
    </row>
    <row r="35" spans="1:27" ht="12.75" customHeight="1" x14ac:dyDescent="0.25">
      <c r="A35" s="135" t="s">
        <v>303</v>
      </c>
      <c r="B35" s="136" t="s">
        <v>64</v>
      </c>
      <c r="C35" s="137"/>
      <c r="D35" s="137" t="s">
        <v>331</v>
      </c>
      <c r="E35" s="138">
        <v>3971</v>
      </c>
      <c r="F35" s="139"/>
      <c r="G35" s="138">
        <v>5</v>
      </c>
      <c r="H35" s="138">
        <v>3000</v>
      </c>
      <c r="I35" s="143">
        <v>20</v>
      </c>
      <c r="J35" s="141">
        <v>1.1000000000000001</v>
      </c>
      <c r="K35" s="137" t="s">
        <v>470</v>
      </c>
      <c r="L35" s="139">
        <v>4</v>
      </c>
      <c r="M35" s="142"/>
      <c r="N35" s="9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3971</v>
      </c>
      <c r="O35" s="11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35" s="9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1370.6985890198296</v>
      </c>
      <c r="Q35" s="9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1281.5749574259589</v>
      </c>
      <c r="R35" s="115">
        <f>IF(Operations[[#This Row],[Calc List Price]]=0,0,IF(Operations[[#This Row],[Units per Hour]]*Operations[[#This Row],[Annual Use]]=0,0,(Operations[[#This Row],[Calc Beg Yr. Value]]-Operations[[#This Row],[Calc End Yr. Value]])/(Operations[[#This Row],[Annual Use]])))</f>
        <v>2.9707877197956881E-2</v>
      </c>
      <c r="S35" s="116">
        <f>IF(Operations[[#This Row],[Annual Use]]=0,0,Operations[[#This Row],[Calc Beg Yr. Value]]*'General Variables'!$B$9/Operations[[#This Row],[Annual Use]])</f>
        <v>9.1379905934655305E-3</v>
      </c>
      <c r="T35" s="116">
        <f>IF(Operations[[#This Row],[Annual Use]]=0,0,Operations[[#This Row],[Calc Beg Yr. Value]]*'General Variables'!$B$10/Operations[[#This Row],[Annual Use]])</f>
        <v>1.8275981186931061E-2</v>
      </c>
      <c r="U35" s="116">
        <f>SUM(Operations[[#This Row],[Depreciation per Unit]:[Opportunity Cost per Unit]])</f>
        <v>5.7121848978353471E-2</v>
      </c>
      <c r="W35" s="3" t="s">
        <v>194</v>
      </c>
      <c r="X35" s="3" t="s">
        <v>131</v>
      </c>
      <c r="Y35" s="4" t="s">
        <v>182</v>
      </c>
      <c r="Z35" s="4" t="s">
        <v>162</v>
      </c>
      <c r="AA35" s="6">
        <v>3000</v>
      </c>
    </row>
    <row r="36" spans="1:27" ht="12.75" customHeight="1" x14ac:dyDescent="0.25">
      <c r="A36" s="135" t="s">
        <v>304</v>
      </c>
      <c r="B36" s="136" t="s">
        <v>71</v>
      </c>
      <c r="C36" s="137" t="s">
        <v>341</v>
      </c>
      <c r="D36" s="137" t="s">
        <v>358</v>
      </c>
      <c r="E36" s="144">
        <v>125418</v>
      </c>
      <c r="F36" s="139"/>
      <c r="G36" s="138">
        <v>5</v>
      </c>
      <c r="H36" s="138">
        <v>1000</v>
      </c>
      <c r="I36" s="143">
        <v>12</v>
      </c>
      <c r="J36" s="141">
        <v>1.1000000000000001</v>
      </c>
      <c r="K36" s="137" t="s">
        <v>470</v>
      </c>
      <c r="L36" s="139">
        <v>6.0699481865284985</v>
      </c>
      <c r="M36" s="142"/>
      <c r="N36" s="9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125418</v>
      </c>
      <c r="O36" s="11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2.9779220778190973</v>
      </c>
      <c r="P36" s="9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62971.764284662248</v>
      </c>
      <c r="Q36" s="9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60047.716191016691</v>
      </c>
      <c r="R36" s="115">
        <f>IF(Operations[[#This Row],[Calc List Price]]=0,0,IF(Operations[[#This Row],[Units per Hour]]*Operations[[#This Row],[Annual Use]]=0,0,(Operations[[#This Row],[Calc Beg Yr. Value]]-Operations[[#This Row],[Calc End Yr. Value]])/(Operations[[#This Row],[Annual Use]])))</f>
        <v>2.9240480936455571</v>
      </c>
      <c r="S36" s="116">
        <f>IF(Operations[[#This Row],[Annual Use]]=0,0,Operations[[#This Row],[Calc Beg Yr. Value]]*'General Variables'!$B$9/Operations[[#This Row],[Annual Use]])</f>
        <v>1.2594352856932451</v>
      </c>
      <c r="T36" s="116">
        <f>IF(Operations[[#This Row],[Annual Use]]=0,0,Operations[[#This Row],[Calc Beg Yr. Value]]*'General Variables'!$B$10/Operations[[#This Row],[Annual Use]])</f>
        <v>2.5188705713864903</v>
      </c>
      <c r="U36" s="116">
        <f>SUM(Operations[[#This Row],[Depreciation per Unit]:[Opportunity Cost per Unit]])</f>
        <v>6.7023539507252927</v>
      </c>
      <c r="W36" s="3" t="s">
        <v>195</v>
      </c>
      <c r="X36" s="3" t="s">
        <v>131</v>
      </c>
      <c r="Y36" s="4" t="s">
        <v>176</v>
      </c>
      <c r="Z36" s="4" t="s">
        <v>133</v>
      </c>
      <c r="AA36" s="5">
        <v>2000</v>
      </c>
    </row>
    <row r="37" spans="1:27" ht="12.75" customHeight="1" x14ac:dyDescent="0.25">
      <c r="A37" s="135" t="s">
        <v>305</v>
      </c>
      <c r="B37" s="136" t="s">
        <v>71</v>
      </c>
      <c r="C37" s="137" t="s">
        <v>349</v>
      </c>
      <c r="D37" s="137" t="s">
        <v>331</v>
      </c>
      <c r="E37" s="147">
        <v>32000</v>
      </c>
      <c r="F37" s="139"/>
      <c r="G37" s="138">
        <v>5</v>
      </c>
      <c r="H37" s="138">
        <v>1000</v>
      </c>
      <c r="I37" s="143">
        <v>10</v>
      </c>
      <c r="J37" s="141">
        <v>1.1000000000000001</v>
      </c>
      <c r="K37" s="137" t="s">
        <v>470</v>
      </c>
      <c r="L37" s="139">
        <v>6.0734042553191498</v>
      </c>
      <c r="M37" s="142"/>
      <c r="N37" s="9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32000</v>
      </c>
      <c r="O37" s="11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0.71511152638384856</v>
      </c>
      <c r="P37" s="9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11045.669818341614</v>
      </c>
      <c r="Q37" s="9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10327.473844782344</v>
      </c>
      <c r="R37" s="115">
        <f>IF(Operations[[#This Row],[Calc List Price]]=0,0,IF(Operations[[#This Row],[Units per Hour]]*Operations[[#This Row],[Annual Use]]=0,0,(Operations[[#This Row],[Calc Beg Yr. Value]]-Operations[[#This Row],[Calc End Yr. Value]])/(Operations[[#This Row],[Annual Use]])))</f>
        <v>0.71819597355927001</v>
      </c>
      <c r="S37" s="116">
        <f>IF(Operations[[#This Row],[Annual Use]]=0,0,Operations[[#This Row],[Calc Beg Yr. Value]]*'General Variables'!$B$9/Operations[[#This Row],[Annual Use]])</f>
        <v>0.22091339636683227</v>
      </c>
      <c r="T37" s="116">
        <f>IF(Operations[[#This Row],[Annual Use]]=0,0,Operations[[#This Row],[Calc Beg Yr. Value]]*'General Variables'!$B$10/Operations[[#This Row],[Annual Use]])</f>
        <v>0.44182679273366454</v>
      </c>
      <c r="U37" s="116">
        <f>SUM(Operations[[#This Row],[Depreciation per Unit]:[Opportunity Cost per Unit]])</f>
        <v>1.3809361626597667</v>
      </c>
      <c r="W37" s="122" t="s">
        <v>198</v>
      </c>
      <c r="X37" s="104" t="s">
        <v>199</v>
      </c>
      <c r="Y37" s="105">
        <v>0.02</v>
      </c>
      <c r="Z37" s="105">
        <v>1</v>
      </c>
      <c r="AA37" s="123"/>
    </row>
    <row r="38" spans="1:27" ht="12.75" customHeight="1" x14ac:dyDescent="0.25">
      <c r="A38" s="135" t="s">
        <v>306</v>
      </c>
      <c r="B38" s="136" t="s">
        <v>445</v>
      </c>
      <c r="C38" s="137" t="s">
        <v>198</v>
      </c>
      <c r="D38" s="137" t="s">
        <v>357</v>
      </c>
      <c r="E38" s="138"/>
      <c r="F38" s="150">
        <v>7500</v>
      </c>
      <c r="G38" s="138">
        <v>10</v>
      </c>
      <c r="H38" s="144">
        <v>2600</v>
      </c>
      <c r="I38" s="143">
        <v>2.25</v>
      </c>
      <c r="J38" s="149">
        <f>5/24</f>
        <v>0.20833333333333334</v>
      </c>
      <c r="K38" s="137" t="s">
        <v>400</v>
      </c>
      <c r="L38" s="151">
        <v>3.03</v>
      </c>
      <c r="M38" s="142"/>
      <c r="N38" s="9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21401.127786861911</v>
      </c>
      <c r="O38" s="11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0.19023224699432831</v>
      </c>
      <c r="P38" s="9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7500</v>
      </c>
      <c r="Q38" s="9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7072.1710320991388</v>
      </c>
      <c r="R38" s="115">
        <f>IF(Operations[[#This Row],[Calc List Price]]=0,0,IF(Operations[[#This Row],[Units per Hour]]*Operations[[#This Row],[Annual Use]]=0,0,(Operations[[#This Row],[Calc Beg Yr. Value]]-Operations[[#This Row],[Calc End Yr. Value]])/(Operations[[#This Row],[Annual Use]])))</f>
        <v>0.16454960303879279</v>
      </c>
      <c r="S38" s="116">
        <f>IF(Operations[[#This Row],[Annual Use]]=0,0,Operations[[#This Row],[Calc Beg Yr. Value]]*'General Variables'!$B$9/Operations[[#This Row],[Annual Use]])</f>
        <v>5.7692307692307696E-2</v>
      </c>
      <c r="T38" s="116">
        <f>IF(Operations[[#This Row],[Annual Use]]=0,0,Operations[[#This Row],[Calc Beg Yr. Value]]*'General Variables'!$B$10/Operations[[#This Row],[Annual Use]])</f>
        <v>0.11538461538461539</v>
      </c>
      <c r="U38" s="116">
        <f>SUM(Operations[[#This Row],[Depreciation per Unit]:[Opportunity Cost per Unit]])</f>
        <v>0.33762652611571586</v>
      </c>
      <c r="W38" s="124" t="s">
        <v>200</v>
      </c>
      <c r="X38" s="125" t="s">
        <v>199</v>
      </c>
      <c r="Y38" s="126">
        <v>0.03</v>
      </c>
      <c r="Z38" s="126">
        <v>1</v>
      </c>
      <c r="AA38" s="127"/>
    </row>
    <row r="39" spans="1:27" ht="12.75" customHeight="1" x14ac:dyDescent="0.25">
      <c r="A39" s="135" t="s">
        <v>307</v>
      </c>
      <c r="B39" s="136" t="s">
        <v>445</v>
      </c>
      <c r="C39" s="137" t="s">
        <v>204</v>
      </c>
      <c r="D39" s="137" t="s">
        <v>383</v>
      </c>
      <c r="E39" s="144">
        <v>65000</v>
      </c>
      <c r="F39" s="139"/>
      <c r="G39" s="138">
        <v>10</v>
      </c>
      <c r="H39" s="138">
        <f>130*20</f>
        <v>2600</v>
      </c>
      <c r="I39" s="143">
        <v>1.8</v>
      </c>
      <c r="J39" s="141">
        <f>1.5/24</f>
        <v>6.25E-2</v>
      </c>
      <c r="K39" s="137" t="s">
        <v>332</v>
      </c>
      <c r="L39" s="139">
        <v>3.34</v>
      </c>
      <c r="M39" s="142"/>
      <c r="N39" s="9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65000</v>
      </c>
      <c r="O39" s="11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1.4986111111111133</v>
      </c>
      <c r="P39" s="9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19175.736648496626</v>
      </c>
      <c r="Q39" s="9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17995.653558644746</v>
      </c>
      <c r="R39" s="115">
        <f>IF(Operations[[#This Row],[Calc List Price]]=0,0,IF(Operations[[#This Row],[Units per Hour]]*Operations[[#This Row],[Annual Use]]=0,0,(Operations[[#This Row],[Calc Beg Yr. Value]]-Operations[[#This Row],[Calc End Yr. Value]])/(Operations[[#This Row],[Annual Use]])))</f>
        <v>0.45387811148149221</v>
      </c>
      <c r="S39" s="116">
        <f>IF(Operations[[#This Row],[Annual Use]]=0,0,Operations[[#This Row],[Calc Beg Yr. Value]]*'General Variables'!$B$9/Operations[[#This Row],[Annual Use]])</f>
        <v>0.14750566652689712</v>
      </c>
      <c r="T39" s="116">
        <f>IF(Operations[[#This Row],[Annual Use]]=0,0,Operations[[#This Row],[Calc Beg Yr. Value]]*'General Variables'!$B$10/Operations[[#This Row],[Annual Use]])</f>
        <v>0.29501133305379423</v>
      </c>
      <c r="U39" s="116">
        <f>SUM(Operations[[#This Row],[Depreciation per Unit]:[Opportunity Cost per Unit]])</f>
        <v>0.8963951110621835</v>
      </c>
      <c r="W39" s="122" t="s">
        <v>201</v>
      </c>
      <c r="X39" s="104" t="s">
        <v>199</v>
      </c>
      <c r="Y39" s="105">
        <v>0.02</v>
      </c>
      <c r="Z39" s="105">
        <v>1</v>
      </c>
      <c r="AA39" s="123"/>
    </row>
    <row r="40" spans="1:27" ht="12.75" customHeight="1" x14ac:dyDescent="0.25">
      <c r="A40" s="135" t="s">
        <v>545</v>
      </c>
      <c r="B40" s="136" t="s">
        <v>445</v>
      </c>
      <c r="C40" s="137" t="s">
        <v>204</v>
      </c>
      <c r="D40" s="137" t="s">
        <v>383</v>
      </c>
      <c r="E40" s="144">
        <v>70000</v>
      </c>
      <c r="F40" s="139"/>
      <c r="G40" s="138">
        <v>10</v>
      </c>
      <c r="H40" s="138">
        <f>130*20</f>
        <v>2600</v>
      </c>
      <c r="I40" s="143">
        <v>1.8</v>
      </c>
      <c r="J40" s="141">
        <f>2/24</f>
        <v>8.3333333333333329E-2</v>
      </c>
      <c r="K40" s="137" t="s">
        <v>332</v>
      </c>
      <c r="L40" s="139">
        <v>3.34</v>
      </c>
      <c r="M40" s="142"/>
      <c r="N40" s="9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70000</v>
      </c>
      <c r="O40" s="11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1.6138888888888914</v>
      </c>
      <c r="P40" s="9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20650.793313765596</v>
      </c>
      <c r="Q40" s="9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19379.93460161742</v>
      </c>
      <c r="R40" s="115">
        <f>IF(Operations[[#This Row],[Calc List Price]]=0,0,IF(Operations[[#This Row],[Units per Hour]]*Operations[[#This Row],[Annual Use]]=0,0,(Operations[[#This Row],[Calc Beg Yr. Value]]-Operations[[#This Row],[Calc End Yr. Value]])/(Operations[[#This Row],[Annual Use]])))</f>
        <v>0.48879181236468305</v>
      </c>
      <c r="S40" s="116">
        <f>IF(Operations[[#This Row],[Annual Use]]=0,0,Operations[[#This Row],[Calc Beg Yr. Value]]*'General Variables'!$B$9/Operations[[#This Row],[Annual Use]])</f>
        <v>0.15885225625973537</v>
      </c>
      <c r="T40" s="116">
        <f>IF(Operations[[#This Row],[Annual Use]]=0,0,Operations[[#This Row],[Calc Beg Yr. Value]]*'General Variables'!$B$10/Operations[[#This Row],[Annual Use]])</f>
        <v>0.31770451251947074</v>
      </c>
      <c r="U40" s="116">
        <f>SUM(Operations[[#This Row],[Depreciation per Unit]:[Opportunity Cost per Unit]])</f>
        <v>0.96534858114388922</v>
      </c>
      <c r="W40" s="124" t="s">
        <v>202</v>
      </c>
      <c r="X40" s="125" t="s">
        <v>199</v>
      </c>
      <c r="Y40" s="126">
        <v>0.06</v>
      </c>
      <c r="Z40" s="126">
        <v>1</v>
      </c>
      <c r="AA40" s="127"/>
    </row>
    <row r="41" spans="1:27" ht="12.75" customHeight="1" x14ac:dyDescent="0.25">
      <c r="A41" s="135" t="s">
        <v>308</v>
      </c>
      <c r="B41" s="136" t="s">
        <v>445</v>
      </c>
      <c r="C41" s="137" t="s">
        <v>204</v>
      </c>
      <c r="D41" s="137" t="s">
        <v>383</v>
      </c>
      <c r="E41" s="144">
        <v>65000</v>
      </c>
      <c r="F41" s="139"/>
      <c r="G41" s="138">
        <v>10</v>
      </c>
      <c r="H41" s="138">
        <f>130*20</f>
        <v>2600</v>
      </c>
      <c r="I41" s="143">
        <v>1.8</v>
      </c>
      <c r="J41" s="141">
        <f>1.5/24</f>
        <v>6.25E-2</v>
      </c>
      <c r="K41" s="137" t="s">
        <v>334</v>
      </c>
      <c r="L41" s="139"/>
      <c r="M41" s="142">
        <v>47.78</v>
      </c>
      <c r="N41" s="9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65000</v>
      </c>
      <c r="O41" s="11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1.4986111111111133</v>
      </c>
      <c r="P41" s="9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19175.736648496626</v>
      </c>
      <c r="Q41" s="9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17995.653558644746</v>
      </c>
      <c r="R41" s="115">
        <f>IF(Operations[[#This Row],[Calc List Price]]=0,0,IF(Operations[[#This Row],[Units per Hour]]*Operations[[#This Row],[Annual Use]]=0,0,(Operations[[#This Row],[Calc Beg Yr. Value]]-Operations[[#This Row],[Calc End Yr. Value]])/(Operations[[#This Row],[Annual Use]])))</f>
        <v>0.45387811148149221</v>
      </c>
      <c r="S41" s="116">
        <f>IF(Operations[[#This Row],[Annual Use]]=0,0,Operations[[#This Row],[Calc Beg Yr. Value]]*'General Variables'!$B$9/Operations[[#This Row],[Annual Use]])</f>
        <v>0.14750566652689712</v>
      </c>
      <c r="T41" s="116">
        <f>IF(Operations[[#This Row],[Annual Use]]=0,0,Operations[[#This Row],[Calc Beg Yr. Value]]*'General Variables'!$B$10/Operations[[#This Row],[Annual Use]])</f>
        <v>0.29501133305379423</v>
      </c>
      <c r="U41" s="116">
        <f>SUM(Operations[[#This Row],[Depreciation per Unit]:[Opportunity Cost per Unit]])</f>
        <v>0.8963951110621835</v>
      </c>
      <c r="W41" s="122" t="s">
        <v>203</v>
      </c>
      <c r="X41" s="104" t="s">
        <v>199</v>
      </c>
      <c r="Y41" s="105">
        <v>0.06</v>
      </c>
      <c r="Z41" s="105">
        <v>1</v>
      </c>
      <c r="AA41" s="123"/>
    </row>
    <row r="42" spans="1:27" ht="12.75" customHeight="1" x14ac:dyDescent="0.25">
      <c r="A42" s="135" t="s">
        <v>555</v>
      </c>
      <c r="B42" s="136" t="s">
        <v>445</v>
      </c>
      <c r="C42" s="137" t="s">
        <v>204</v>
      </c>
      <c r="D42" s="137" t="s">
        <v>383</v>
      </c>
      <c r="E42" s="144">
        <v>70000</v>
      </c>
      <c r="F42" s="139"/>
      <c r="G42" s="138">
        <v>10</v>
      </c>
      <c r="H42" s="138">
        <f>130*20</f>
        <v>2600</v>
      </c>
      <c r="I42" s="143">
        <v>1.8</v>
      </c>
      <c r="J42" s="141">
        <f>2/24</f>
        <v>8.3333333333333329E-2</v>
      </c>
      <c r="K42" s="137" t="s">
        <v>334</v>
      </c>
      <c r="L42" s="139"/>
      <c r="M42" s="142">
        <v>47.78</v>
      </c>
      <c r="N42" s="9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70000</v>
      </c>
      <c r="O42" s="11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1.6138888888888914</v>
      </c>
      <c r="P42" s="9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20650.793313765596</v>
      </c>
      <c r="Q42" s="9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19379.93460161742</v>
      </c>
      <c r="R42" s="115">
        <f>IF(Operations[[#This Row],[Calc List Price]]=0,0,IF(Operations[[#This Row],[Units per Hour]]*Operations[[#This Row],[Annual Use]]=0,0,(Operations[[#This Row],[Calc Beg Yr. Value]]-Operations[[#This Row],[Calc End Yr. Value]])/(Operations[[#This Row],[Annual Use]])))</f>
        <v>0.48879181236468305</v>
      </c>
      <c r="S42" s="116">
        <f>IF(Operations[[#This Row],[Annual Use]]=0,0,Operations[[#This Row],[Calc Beg Yr. Value]]*'General Variables'!$B$9/Operations[[#This Row],[Annual Use]])</f>
        <v>0.15885225625973537</v>
      </c>
      <c r="T42" s="116">
        <f>IF(Operations[[#This Row],[Annual Use]]=0,0,Operations[[#This Row],[Calc Beg Yr. Value]]*'General Variables'!$B$10/Operations[[#This Row],[Annual Use]])</f>
        <v>0.31770451251947074</v>
      </c>
      <c r="U42" s="116">
        <f>SUM(Operations[[#This Row],[Depreciation per Unit]:[Opportunity Cost per Unit]])</f>
        <v>0.96534858114388922</v>
      </c>
      <c r="W42" s="124" t="s">
        <v>204</v>
      </c>
      <c r="X42" s="125" t="s">
        <v>199</v>
      </c>
      <c r="Y42" s="126">
        <v>4.1500000000000002E-2</v>
      </c>
      <c r="Z42" s="126">
        <v>1</v>
      </c>
      <c r="AA42" s="127"/>
    </row>
    <row r="43" spans="1:27" ht="12.75" customHeight="1" x14ac:dyDescent="0.25">
      <c r="A43" s="135" t="s">
        <v>309</v>
      </c>
      <c r="B43" s="136" t="s">
        <v>71</v>
      </c>
      <c r="C43" s="137" t="s">
        <v>350</v>
      </c>
      <c r="D43" s="137" t="s">
        <v>358</v>
      </c>
      <c r="E43" s="144">
        <v>71400</v>
      </c>
      <c r="F43" s="139"/>
      <c r="G43" s="138">
        <v>5</v>
      </c>
      <c r="H43" s="138">
        <v>1000</v>
      </c>
      <c r="I43" s="143">
        <v>10</v>
      </c>
      <c r="J43" s="141">
        <v>1.2</v>
      </c>
      <c r="K43" s="137" t="s">
        <v>470</v>
      </c>
      <c r="L43" s="139">
        <v>2.73</v>
      </c>
      <c r="M43" s="142"/>
      <c r="N43" s="9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71400</v>
      </c>
      <c r="O43" s="11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2.4861783891615654</v>
      </c>
      <c r="P43" s="9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35849.59072800463</v>
      </c>
      <c r="Q43" s="9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34184.941045452739</v>
      </c>
      <c r="R43" s="115">
        <f>IF(Operations[[#This Row],[Calc List Price]]=0,0,IF(Operations[[#This Row],[Units per Hour]]*Operations[[#This Row],[Annual Use]]=0,0,(Operations[[#This Row],[Calc Beg Yr. Value]]-Operations[[#This Row],[Calc End Yr. Value]])/(Operations[[#This Row],[Annual Use]])))</f>
        <v>1.6646496825518915</v>
      </c>
      <c r="S43" s="116">
        <f>IF(Operations[[#This Row],[Annual Use]]=0,0,Operations[[#This Row],[Calc Beg Yr. Value]]*'General Variables'!$B$9/Operations[[#This Row],[Annual Use]])</f>
        <v>0.71699181456009264</v>
      </c>
      <c r="T43" s="116">
        <f>IF(Operations[[#This Row],[Annual Use]]=0,0,Operations[[#This Row],[Calc Beg Yr. Value]]*'General Variables'!$B$10/Operations[[#This Row],[Annual Use]])</f>
        <v>1.4339836291201853</v>
      </c>
      <c r="U43" s="116">
        <f>SUM(Operations[[#This Row],[Depreciation per Unit]:[Opportunity Cost per Unit]])</f>
        <v>3.8156251262321694</v>
      </c>
      <c r="W43" s="122" t="s">
        <v>205</v>
      </c>
      <c r="X43" s="104" t="s">
        <v>199</v>
      </c>
      <c r="Y43" s="105">
        <v>0.06</v>
      </c>
      <c r="Z43" s="105">
        <v>1</v>
      </c>
      <c r="AA43" s="123"/>
    </row>
    <row r="44" spans="1:27" ht="12.75" customHeight="1" x14ac:dyDescent="0.25">
      <c r="A44" s="135" t="s">
        <v>310</v>
      </c>
      <c r="B44" s="136" t="s">
        <v>71</v>
      </c>
      <c r="C44" s="137" t="s">
        <v>350</v>
      </c>
      <c r="D44" s="137" t="s">
        <v>358</v>
      </c>
      <c r="E44" s="138">
        <v>71400</v>
      </c>
      <c r="F44" s="139"/>
      <c r="G44" s="138">
        <v>5</v>
      </c>
      <c r="H44" s="138">
        <v>1000</v>
      </c>
      <c r="I44" s="143">
        <v>10</v>
      </c>
      <c r="J44" s="141">
        <v>1.2</v>
      </c>
      <c r="K44" s="137" t="s">
        <v>470</v>
      </c>
      <c r="L44" s="139">
        <v>2.580373831775701</v>
      </c>
      <c r="M44" s="142"/>
      <c r="N44" s="9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71400</v>
      </c>
      <c r="O44" s="11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2.4861783891615654</v>
      </c>
      <c r="P44" s="9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35849.59072800463</v>
      </c>
      <c r="Q44" s="9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34184.941045452739</v>
      </c>
      <c r="R44" s="115">
        <f>IF(Operations[[#This Row],[Calc List Price]]=0,0,IF(Operations[[#This Row],[Units per Hour]]*Operations[[#This Row],[Annual Use]]=0,0,(Operations[[#This Row],[Calc Beg Yr. Value]]-Operations[[#This Row],[Calc End Yr. Value]])/(Operations[[#This Row],[Annual Use]])))</f>
        <v>1.6646496825518915</v>
      </c>
      <c r="S44" s="116">
        <f>IF(Operations[[#This Row],[Annual Use]]=0,0,Operations[[#This Row],[Calc Beg Yr. Value]]*'General Variables'!$B$9/Operations[[#This Row],[Annual Use]])</f>
        <v>0.71699181456009264</v>
      </c>
      <c r="T44" s="116">
        <f>IF(Operations[[#This Row],[Annual Use]]=0,0,Operations[[#This Row],[Calc Beg Yr. Value]]*'General Variables'!$B$10/Operations[[#This Row],[Annual Use]])</f>
        <v>1.4339836291201853</v>
      </c>
      <c r="U44" s="116">
        <f>SUM(Operations[[#This Row],[Depreciation per Unit]:[Opportunity Cost per Unit]])</f>
        <v>3.8156251262321694</v>
      </c>
      <c r="W44" s="124" t="s">
        <v>206</v>
      </c>
      <c r="X44" s="125" t="s">
        <v>199</v>
      </c>
      <c r="Y44" s="126">
        <v>0.06</v>
      </c>
      <c r="Z44" s="126">
        <v>1</v>
      </c>
      <c r="AA44" s="127"/>
    </row>
    <row r="45" spans="1:27" ht="12.75" customHeight="1" x14ac:dyDescent="0.25">
      <c r="A45" s="135" t="s">
        <v>311</v>
      </c>
      <c r="B45" s="136" t="s">
        <v>71</v>
      </c>
      <c r="C45" s="137" t="s">
        <v>350</v>
      </c>
      <c r="D45" s="137" t="s">
        <v>358</v>
      </c>
      <c r="E45" s="144">
        <v>125418</v>
      </c>
      <c r="F45" s="139"/>
      <c r="G45" s="138">
        <v>5</v>
      </c>
      <c r="H45" s="144">
        <v>1000</v>
      </c>
      <c r="I45" s="143">
        <v>10</v>
      </c>
      <c r="J45" s="141">
        <v>1.2</v>
      </c>
      <c r="K45" s="137" t="s">
        <v>470</v>
      </c>
      <c r="L45" s="139">
        <v>3.38</v>
      </c>
      <c r="M45" s="142"/>
      <c r="N45" s="9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125418</v>
      </c>
      <c r="O45" s="11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4.3671081402222018</v>
      </c>
      <c r="P45" s="9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62971.764284662248</v>
      </c>
      <c r="Q45" s="9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60047.716191016691</v>
      </c>
      <c r="R45" s="115">
        <f>IF(Operations[[#This Row],[Calc List Price]]=0,0,IF(Operations[[#This Row],[Units per Hour]]*Operations[[#This Row],[Annual Use]]=0,0,(Operations[[#This Row],[Calc Beg Yr. Value]]-Operations[[#This Row],[Calc End Yr. Value]])/(Operations[[#This Row],[Annual Use]])))</f>
        <v>2.9240480936455571</v>
      </c>
      <c r="S45" s="116">
        <f>IF(Operations[[#This Row],[Annual Use]]=0,0,Operations[[#This Row],[Calc Beg Yr. Value]]*'General Variables'!$B$9/Operations[[#This Row],[Annual Use]])</f>
        <v>1.2594352856932451</v>
      </c>
      <c r="T45" s="116">
        <f>IF(Operations[[#This Row],[Annual Use]]=0,0,Operations[[#This Row],[Calc Beg Yr. Value]]*'General Variables'!$B$10/Operations[[#This Row],[Annual Use]])</f>
        <v>2.5188705713864903</v>
      </c>
      <c r="U45" s="116">
        <f>SUM(Operations[[#This Row],[Depreciation per Unit]:[Opportunity Cost per Unit]])</f>
        <v>6.7023539507252927</v>
      </c>
      <c r="W45" s="122" t="s">
        <v>207</v>
      </c>
      <c r="X45" s="104" t="s">
        <v>199</v>
      </c>
      <c r="Y45" s="105">
        <v>0.06</v>
      </c>
      <c r="Z45" s="105">
        <v>1</v>
      </c>
      <c r="AA45" s="123"/>
    </row>
    <row r="46" spans="1:27" ht="12.75" customHeight="1" x14ac:dyDescent="0.25">
      <c r="A46" s="135" t="s">
        <v>547</v>
      </c>
      <c r="B46" s="136" t="s">
        <v>71</v>
      </c>
      <c r="C46" s="137" t="s">
        <v>549</v>
      </c>
      <c r="D46" s="137" t="s">
        <v>550</v>
      </c>
      <c r="E46" s="138">
        <v>14781</v>
      </c>
      <c r="F46" s="139"/>
      <c r="G46" s="138">
        <v>5</v>
      </c>
      <c r="H46" s="144">
        <v>1000</v>
      </c>
      <c r="I46" s="143">
        <v>7.5</v>
      </c>
      <c r="J46" s="141">
        <v>1.1000000000000001</v>
      </c>
      <c r="K46" s="137" t="s">
        <v>469</v>
      </c>
      <c r="L46" s="139">
        <v>6</v>
      </c>
      <c r="M46" s="142"/>
      <c r="N46" s="9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14781</v>
      </c>
      <c r="O46" s="11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0.80252462978311567</v>
      </c>
      <c r="P46" s="9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5754.6386463091521</v>
      </c>
      <c r="Q46" s="9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5555.6193278170276</v>
      </c>
      <c r="R46" s="115">
        <f>IF(Operations[[#This Row],[Calc List Price]]=0,0,IF(Operations[[#This Row],[Units per Hour]]*Operations[[#This Row],[Annual Use]]=0,0,(Operations[[#This Row],[Calc Beg Yr. Value]]-Operations[[#This Row],[Calc End Yr. Value]])/(Operations[[#This Row],[Annual Use]])))</f>
        <v>0.19901931849212451</v>
      </c>
      <c r="S46" s="116">
        <f>IF(Operations[[#This Row],[Annual Use]]=0,0,Operations[[#This Row],[Calc Beg Yr. Value]]*'General Variables'!$B$9/Operations[[#This Row],[Annual Use]])</f>
        <v>0.11509277292618304</v>
      </c>
      <c r="T46" s="116">
        <f>IF(Operations[[#This Row],[Annual Use]]=0,0,Operations[[#This Row],[Calc Beg Yr. Value]]*'General Variables'!$B$10/Operations[[#This Row],[Annual Use]])</f>
        <v>0.23018554585236609</v>
      </c>
      <c r="U46" s="116">
        <f>SUM(Operations[[#This Row],[Depreciation per Unit]:[Opportunity Cost per Unit]])</f>
        <v>0.5442976372706736</v>
      </c>
      <c r="W46" s="124" t="s">
        <v>208</v>
      </c>
      <c r="X46" s="125" t="s">
        <v>199</v>
      </c>
      <c r="Y46" s="126">
        <v>0.02</v>
      </c>
      <c r="Z46" s="126">
        <v>1</v>
      </c>
      <c r="AA46" s="127"/>
    </row>
    <row r="47" spans="1:27" ht="12.75" customHeight="1" x14ac:dyDescent="0.25">
      <c r="A47" s="135" t="s">
        <v>594</v>
      </c>
      <c r="B47" s="136" t="s">
        <v>71</v>
      </c>
      <c r="C47" s="137" t="s">
        <v>344</v>
      </c>
      <c r="D47" s="137" t="s">
        <v>356</v>
      </c>
      <c r="E47" s="138">
        <v>29000</v>
      </c>
      <c r="F47" s="139">
        <v>4500</v>
      </c>
      <c r="G47" s="138">
        <v>5</v>
      </c>
      <c r="H47" s="138">
        <v>1000</v>
      </c>
      <c r="I47" s="143">
        <v>12</v>
      </c>
      <c r="J47" s="141">
        <v>1.1000000000000001</v>
      </c>
      <c r="K47" s="137" t="s">
        <v>470</v>
      </c>
      <c r="L47" s="139">
        <v>5.332019704433498</v>
      </c>
      <c r="M47" s="142"/>
      <c r="N47" s="9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29000</v>
      </c>
      <c r="O47" s="11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0.3545273271612645</v>
      </c>
      <c r="P47" s="9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12065.941696464242</v>
      </c>
      <c r="Q47" s="9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11203.628597969602</v>
      </c>
      <c r="R47" s="115">
        <f>IF(Operations[[#This Row],[Calc List Price]]=0,0,IF(Operations[[#This Row],[Units per Hour]]*Operations[[#This Row],[Annual Use]]=0,0,(Operations[[#This Row],[Calc Beg Yr. Value]]-Operations[[#This Row],[Calc End Yr. Value]])/(Operations[[#This Row],[Annual Use]])))</f>
        <v>0.86231309849464011</v>
      </c>
      <c r="S47" s="116">
        <f>IF(Operations[[#This Row],[Annual Use]]=0,0,Operations[[#This Row],[Calc Beg Yr. Value]]*'General Variables'!$B$9/Operations[[#This Row],[Annual Use]])</f>
        <v>0.24131883392928485</v>
      </c>
      <c r="T47" s="116">
        <f>IF(Operations[[#This Row],[Annual Use]]=0,0,Operations[[#This Row],[Calc Beg Yr. Value]]*'General Variables'!$B$10/Operations[[#This Row],[Annual Use]])</f>
        <v>0.48263766785856971</v>
      </c>
      <c r="U47" s="116">
        <f>SUM(Operations[[#This Row],[Depreciation per Unit]:[Opportunity Cost per Unit]])</f>
        <v>1.5862696002824948</v>
      </c>
      <c r="W47" s="122" t="s">
        <v>209</v>
      </c>
      <c r="X47" s="104" t="s">
        <v>199</v>
      </c>
      <c r="Y47" s="105">
        <v>0.01</v>
      </c>
      <c r="Z47" s="105">
        <v>1</v>
      </c>
      <c r="AA47" s="123"/>
    </row>
    <row r="48" spans="1:27" ht="12.75" customHeight="1" x14ac:dyDescent="0.25">
      <c r="A48" s="135" t="s">
        <v>312</v>
      </c>
      <c r="B48" s="136" t="s">
        <v>71</v>
      </c>
      <c r="C48" s="137" t="s">
        <v>344</v>
      </c>
      <c r="D48" s="137" t="s">
        <v>356</v>
      </c>
      <c r="E48" s="147">
        <v>29000</v>
      </c>
      <c r="F48" s="139"/>
      <c r="G48" s="138">
        <v>5</v>
      </c>
      <c r="H48" s="138">
        <v>1500</v>
      </c>
      <c r="I48" s="145">
        <v>10</v>
      </c>
      <c r="J48" s="141">
        <v>1</v>
      </c>
      <c r="K48" s="137" t="s">
        <v>470</v>
      </c>
      <c r="L48" s="139">
        <v>5.332019704433498</v>
      </c>
      <c r="M48" s="142"/>
      <c r="N48" s="9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29000</v>
      </c>
      <c r="O48" s="11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0.86130698377094239</v>
      </c>
      <c r="P48" s="9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12065.941696464242</v>
      </c>
      <c r="Q48" s="9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11203.628597969602</v>
      </c>
      <c r="R48" s="115">
        <f>IF(Operations[[#This Row],[Calc List Price]]=0,0,IF(Operations[[#This Row],[Units per Hour]]*Operations[[#This Row],[Annual Use]]=0,0,(Operations[[#This Row],[Calc Beg Yr. Value]]-Operations[[#This Row],[Calc End Yr. Value]])/(Operations[[#This Row],[Annual Use]])))</f>
        <v>0.57487539899642681</v>
      </c>
      <c r="S48" s="116">
        <f>IF(Operations[[#This Row],[Annual Use]]=0,0,Operations[[#This Row],[Calc Beg Yr. Value]]*'General Variables'!$B$9/Operations[[#This Row],[Annual Use]])</f>
        <v>0.16087922261952325</v>
      </c>
      <c r="T48" s="116">
        <f>IF(Operations[[#This Row],[Annual Use]]=0,0,Operations[[#This Row],[Calc Beg Yr. Value]]*'General Variables'!$B$10/Operations[[#This Row],[Annual Use]])</f>
        <v>0.32175844523904651</v>
      </c>
      <c r="U48" s="116">
        <f>SUM(Operations[[#This Row],[Depreciation per Unit]:[Opportunity Cost per Unit]])</f>
        <v>1.0575130668549966</v>
      </c>
      <c r="W48" s="122" t="s">
        <v>210</v>
      </c>
      <c r="X48" s="104" t="s">
        <v>199</v>
      </c>
      <c r="Y48" s="105">
        <v>0.03</v>
      </c>
      <c r="Z48" s="105">
        <v>1</v>
      </c>
      <c r="AA48" s="123"/>
    </row>
    <row r="49" spans="1:21" ht="12.75" customHeight="1" x14ac:dyDescent="0.2">
      <c r="A49" s="135" t="s">
        <v>313</v>
      </c>
      <c r="B49" s="136" t="s">
        <v>71</v>
      </c>
      <c r="C49" s="137" t="s">
        <v>350</v>
      </c>
      <c r="D49" s="137" t="s">
        <v>356</v>
      </c>
      <c r="E49" s="147">
        <v>125418</v>
      </c>
      <c r="F49" s="139"/>
      <c r="G49" s="138">
        <v>5</v>
      </c>
      <c r="H49" s="138">
        <v>1500</v>
      </c>
      <c r="I49" s="143">
        <v>10</v>
      </c>
      <c r="J49" s="141">
        <v>1.2</v>
      </c>
      <c r="K49" s="137" t="s">
        <v>470</v>
      </c>
      <c r="L49" s="139">
        <v>3.4073170731707321</v>
      </c>
      <c r="M49" s="142"/>
      <c r="N49" s="9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125418</v>
      </c>
      <c r="O49" s="11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6.821726935577658</v>
      </c>
      <c r="P49" s="9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52182.285368522498</v>
      </c>
      <c r="Q49" s="9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48452.989362074193</v>
      </c>
      <c r="R49" s="115">
        <f>IF(Operations[[#This Row],[Calc List Price]]=0,0,IF(Operations[[#This Row],[Units per Hour]]*Operations[[#This Row],[Annual Use]]=0,0,(Operations[[#This Row],[Calc Beg Yr. Value]]-Operations[[#This Row],[Calc End Yr. Value]])/(Operations[[#This Row],[Annual Use]])))</f>
        <v>2.4861973376322033</v>
      </c>
      <c r="S49" s="116">
        <f>IF(Operations[[#This Row],[Annual Use]]=0,0,Operations[[#This Row],[Calc Beg Yr. Value]]*'General Variables'!$B$9/Operations[[#This Row],[Annual Use]])</f>
        <v>0.69576380491363332</v>
      </c>
      <c r="T49" s="116">
        <f>IF(Operations[[#This Row],[Annual Use]]=0,0,Operations[[#This Row],[Calc Beg Yr. Value]]*'General Variables'!$B$10/Operations[[#This Row],[Annual Use]])</f>
        <v>1.3915276098272666</v>
      </c>
      <c r="U49" s="116">
        <f>SUM(Operations[[#This Row],[Depreciation per Unit]:[Opportunity Cost per Unit]])</f>
        <v>4.5734887523731036</v>
      </c>
    </row>
    <row r="50" spans="1:21" ht="12.75" customHeight="1" x14ac:dyDescent="0.2">
      <c r="A50" s="135" t="s">
        <v>567</v>
      </c>
      <c r="B50" s="136" t="s">
        <v>71</v>
      </c>
      <c r="C50" s="137" t="s">
        <v>350</v>
      </c>
      <c r="D50" s="137" t="s">
        <v>356</v>
      </c>
      <c r="E50" s="147">
        <v>128418</v>
      </c>
      <c r="F50" s="139"/>
      <c r="G50" s="138">
        <v>5</v>
      </c>
      <c r="H50" s="138">
        <v>1500</v>
      </c>
      <c r="I50" s="143">
        <v>10</v>
      </c>
      <c r="J50" s="141">
        <v>1.2</v>
      </c>
      <c r="K50" s="137" t="s">
        <v>470</v>
      </c>
      <c r="L50" s="139">
        <v>3.41</v>
      </c>
      <c r="M50" s="142"/>
      <c r="N50" s="9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128418</v>
      </c>
      <c r="O50" s="11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6.9849027222010527</v>
      </c>
      <c r="P50" s="9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53430.486233673968</v>
      </c>
      <c r="Q50" s="9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49611.985423933118</v>
      </c>
      <c r="R50" s="115">
        <f>IF(Operations[[#This Row],[Calc List Price]]=0,0,IF(Operations[[#This Row],[Units per Hour]]*Operations[[#This Row],[Annual Use]]=0,0,(Operations[[#This Row],[Calc Beg Yr. Value]]-Operations[[#This Row],[Calc End Yr. Value]])/(Operations[[#This Row],[Annual Use]])))</f>
        <v>2.5456672064939001</v>
      </c>
      <c r="S50" s="116">
        <f>IF(Operations[[#This Row],[Annual Use]]=0,0,Operations[[#This Row],[Calc Beg Yr. Value]]*'General Variables'!$B$9/Operations[[#This Row],[Annual Use]])</f>
        <v>0.71240648311565291</v>
      </c>
      <c r="T50" s="116">
        <f>IF(Operations[[#This Row],[Annual Use]]=0,0,Operations[[#This Row],[Calc Beg Yr. Value]]*'General Variables'!$B$10/Operations[[#This Row],[Annual Use]])</f>
        <v>1.4248129662313058</v>
      </c>
      <c r="U50" s="116">
        <f>SUM(Operations[[#This Row],[Depreciation per Unit]:[Opportunity Cost per Unit]])</f>
        <v>4.6828866558408588</v>
      </c>
    </row>
    <row r="51" spans="1:21" ht="12.75" customHeight="1" x14ac:dyDescent="0.2">
      <c r="A51" s="135" t="s">
        <v>314</v>
      </c>
      <c r="B51" s="136" t="s">
        <v>71</v>
      </c>
      <c r="C51" s="137" t="s">
        <v>351</v>
      </c>
      <c r="D51" s="137" t="s">
        <v>356</v>
      </c>
      <c r="E51" s="138"/>
      <c r="F51" s="139">
        <v>7500</v>
      </c>
      <c r="G51" s="138">
        <v>5</v>
      </c>
      <c r="H51" s="138">
        <v>1000</v>
      </c>
      <c r="I51" s="143">
        <v>13.200000000000001</v>
      </c>
      <c r="J51" s="141">
        <v>1</v>
      </c>
      <c r="K51" s="137" t="s">
        <v>470</v>
      </c>
      <c r="L51" s="139">
        <v>5.346000000000001</v>
      </c>
      <c r="M51" s="142"/>
      <c r="N51" s="9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18025.944884495453</v>
      </c>
      <c r="O51" s="11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0.2263455021013793</v>
      </c>
      <c r="P51" s="9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7500</v>
      </c>
      <c r="Q51" s="9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6963.9997108054176</v>
      </c>
      <c r="R51" s="115">
        <f>IF(Operations[[#This Row],[Calc List Price]]=0,0,IF(Operations[[#This Row],[Units per Hour]]*Operations[[#This Row],[Annual Use]]=0,0,(Operations[[#This Row],[Calc Beg Yr. Value]]-Operations[[#This Row],[Calc End Yr. Value]])/(Operations[[#This Row],[Annual Use]])))</f>
        <v>0.53600028919458231</v>
      </c>
      <c r="S51" s="116">
        <f>IF(Operations[[#This Row],[Annual Use]]=0,0,Operations[[#This Row],[Calc Beg Yr. Value]]*'General Variables'!$B$9/Operations[[#This Row],[Annual Use]])</f>
        <v>0.15</v>
      </c>
      <c r="T51" s="116">
        <f>IF(Operations[[#This Row],[Annual Use]]=0,0,Operations[[#This Row],[Calc Beg Yr. Value]]*'General Variables'!$B$10/Operations[[#This Row],[Annual Use]])</f>
        <v>0.3</v>
      </c>
      <c r="U51" s="116">
        <f>SUM(Operations[[#This Row],[Depreciation per Unit]:[Opportunity Cost per Unit]])</f>
        <v>0.98600028919458227</v>
      </c>
    </row>
    <row r="52" spans="1:21" ht="12.75" customHeight="1" x14ac:dyDescent="0.2">
      <c r="A52" s="135" t="s">
        <v>565</v>
      </c>
      <c r="B52" s="136" t="s">
        <v>71</v>
      </c>
      <c r="C52" s="137" t="s">
        <v>351</v>
      </c>
      <c r="D52" s="137" t="s">
        <v>356</v>
      </c>
      <c r="E52" s="138"/>
      <c r="F52" s="139">
        <v>7500</v>
      </c>
      <c r="G52" s="138">
        <v>5</v>
      </c>
      <c r="H52" s="138">
        <v>1000</v>
      </c>
      <c r="I52" s="143">
        <v>13.200000000000001</v>
      </c>
      <c r="J52" s="141">
        <v>1.2</v>
      </c>
      <c r="K52" s="137" t="s">
        <v>470</v>
      </c>
      <c r="L52" s="139">
        <v>5.346000000000001</v>
      </c>
      <c r="M52" s="142"/>
      <c r="N52" s="9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18025.944884495453</v>
      </c>
      <c r="O52" s="11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0.2263455021013793</v>
      </c>
      <c r="P52" s="9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7500</v>
      </c>
      <c r="Q52" s="9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6963.9997108054176</v>
      </c>
      <c r="R52" s="115">
        <f>IF(Operations[[#This Row],[Calc List Price]]=0,0,IF(Operations[[#This Row],[Units per Hour]]*Operations[[#This Row],[Annual Use]]=0,0,(Operations[[#This Row],[Calc Beg Yr. Value]]-Operations[[#This Row],[Calc End Yr. Value]])/(Operations[[#This Row],[Annual Use]])))</f>
        <v>0.53600028919458231</v>
      </c>
      <c r="S52" s="116">
        <f>IF(Operations[[#This Row],[Annual Use]]=0,0,Operations[[#This Row],[Calc Beg Yr. Value]]*'General Variables'!$B$9/Operations[[#This Row],[Annual Use]])</f>
        <v>0.15</v>
      </c>
      <c r="T52" s="116">
        <f>IF(Operations[[#This Row],[Annual Use]]=0,0,Operations[[#This Row],[Calc Beg Yr. Value]]*'General Variables'!$B$10/Operations[[#This Row],[Annual Use]])</f>
        <v>0.3</v>
      </c>
      <c r="U52" s="116">
        <f>SUM(Operations[[#This Row],[Depreciation per Unit]:[Opportunity Cost per Unit]])</f>
        <v>0.98600028919458227</v>
      </c>
    </row>
    <row r="53" spans="1:21" ht="12.75" customHeight="1" x14ac:dyDescent="0.2">
      <c r="A53" s="135" t="s">
        <v>315</v>
      </c>
      <c r="B53" s="136" t="s">
        <v>71</v>
      </c>
      <c r="C53" s="137" t="s">
        <v>342</v>
      </c>
      <c r="D53" s="137" t="s">
        <v>356</v>
      </c>
      <c r="E53" s="138"/>
      <c r="F53" s="139"/>
      <c r="G53" s="138">
        <v>5</v>
      </c>
      <c r="H53" s="138">
        <v>300</v>
      </c>
      <c r="I53" s="145">
        <v>9</v>
      </c>
      <c r="J53" s="141">
        <v>1</v>
      </c>
      <c r="K53" s="137" t="s">
        <v>470</v>
      </c>
      <c r="L53" s="139">
        <v>5.4586466165413539</v>
      </c>
      <c r="M53" s="142"/>
      <c r="N53" s="9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53" s="11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53" s="9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53" s="9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53" s="115">
        <f>IF(Operations[[#This Row],[Calc List Price]]=0,0,IF(Operations[[#This Row],[Units per Hour]]*Operations[[#This Row],[Annual Use]]=0,0,(Operations[[#This Row],[Calc Beg Yr. Value]]-Operations[[#This Row],[Calc End Yr. Value]])/(Operations[[#This Row],[Annual Use]])))</f>
        <v>0</v>
      </c>
      <c r="S53" s="116">
        <f>IF(Operations[[#This Row],[Annual Use]]=0,0,Operations[[#This Row],[Calc Beg Yr. Value]]*'General Variables'!$B$9/Operations[[#This Row],[Annual Use]])</f>
        <v>0</v>
      </c>
      <c r="T53" s="116">
        <f>IF(Operations[[#This Row],[Annual Use]]=0,0,Operations[[#This Row],[Calc Beg Yr. Value]]*'General Variables'!$B$10/Operations[[#This Row],[Annual Use]])</f>
        <v>0</v>
      </c>
      <c r="U53" s="116">
        <f>SUM(Operations[[#This Row],[Depreciation per Unit]:[Opportunity Cost per Unit]])</f>
        <v>0</v>
      </c>
    </row>
    <row r="54" spans="1:21" ht="12.75" customHeight="1" x14ac:dyDescent="0.2">
      <c r="A54" s="135" t="s">
        <v>548</v>
      </c>
      <c r="B54" s="136" t="s">
        <v>71</v>
      </c>
      <c r="C54" s="137" t="s">
        <v>342</v>
      </c>
      <c r="D54" s="137" t="s">
        <v>356</v>
      </c>
      <c r="E54" s="147">
        <v>56958</v>
      </c>
      <c r="F54" s="139"/>
      <c r="G54" s="138">
        <v>5</v>
      </c>
      <c r="H54" s="138">
        <v>1000</v>
      </c>
      <c r="I54" s="143">
        <v>10</v>
      </c>
      <c r="J54" s="141">
        <v>1</v>
      </c>
      <c r="K54" s="137" t="s">
        <v>470</v>
      </c>
      <c r="L54" s="139">
        <v>5</v>
      </c>
      <c r="M54" s="142"/>
      <c r="N54" s="9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56958</v>
      </c>
      <c r="O54" s="11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0.98992203934522005</v>
      </c>
      <c r="P54" s="9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23698.341625765872</v>
      </c>
      <c r="Q54" s="9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22004.699230453538</v>
      </c>
      <c r="R54" s="115">
        <f>IF(Operations[[#This Row],[Calc List Price]]=0,0,IF(Operations[[#This Row],[Units per Hour]]*Operations[[#This Row],[Annual Use]]=0,0,(Operations[[#This Row],[Calc Beg Yr. Value]]-Operations[[#This Row],[Calc End Yr. Value]])/(Operations[[#This Row],[Annual Use]])))</f>
        <v>1.6936423953123341</v>
      </c>
      <c r="S54" s="116">
        <f>IF(Operations[[#This Row],[Annual Use]]=0,0,Operations[[#This Row],[Calc Beg Yr. Value]]*'General Variables'!$B$9/Operations[[#This Row],[Annual Use]])</f>
        <v>0.47396683251531746</v>
      </c>
      <c r="T54" s="116">
        <f>IF(Operations[[#This Row],[Annual Use]]=0,0,Operations[[#This Row],[Calc Beg Yr. Value]]*'General Variables'!$B$10/Operations[[#This Row],[Annual Use]])</f>
        <v>0.94793366503063492</v>
      </c>
      <c r="U54" s="116">
        <f>SUM(Operations[[#This Row],[Depreciation per Unit]:[Opportunity Cost per Unit]])</f>
        <v>3.1155428928582865</v>
      </c>
    </row>
    <row r="55" spans="1:21" ht="12.75" customHeight="1" x14ac:dyDescent="0.2">
      <c r="A55" s="135" t="s">
        <v>316</v>
      </c>
      <c r="B55" s="136" t="s">
        <v>71</v>
      </c>
      <c r="C55" s="137" t="s">
        <v>344</v>
      </c>
      <c r="D55" s="137" t="s">
        <v>356</v>
      </c>
      <c r="E55" s="138">
        <v>29000</v>
      </c>
      <c r="F55" s="139"/>
      <c r="G55" s="138">
        <v>5</v>
      </c>
      <c r="H55" s="138">
        <v>1000</v>
      </c>
      <c r="I55" s="145">
        <v>11</v>
      </c>
      <c r="J55" s="141">
        <v>1.1000000000000001</v>
      </c>
      <c r="K55" s="137" t="s">
        <v>470</v>
      </c>
      <c r="L55" s="139">
        <v>3.5</v>
      </c>
      <c r="M55" s="142"/>
      <c r="N55" s="9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29000</v>
      </c>
      <c r="O55" s="11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0.42932339046359652</v>
      </c>
      <c r="P55" s="9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12065.941696464242</v>
      </c>
      <c r="Q55" s="9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11203.628597969602</v>
      </c>
      <c r="R55" s="115">
        <f>IF(Operations[[#This Row],[Calc List Price]]=0,0,IF(Operations[[#This Row],[Units per Hour]]*Operations[[#This Row],[Annual Use]]=0,0,(Operations[[#This Row],[Calc Beg Yr. Value]]-Operations[[#This Row],[Calc End Yr. Value]])/(Operations[[#This Row],[Annual Use]])))</f>
        <v>0.86231309849464011</v>
      </c>
      <c r="S55" s="116">
        <f>IF(Operations[[#This Row],[Annual Use]]=0,0,Operations[[#This Row],[Calc Beg Yr. Value]]*'General Variables'!$B$9/Operations[[#This Row],[Annual Use]])</f>
        <v>0.24131883392928485</v>
      </c>
      <c r="T55" s="116">
        <f>IF(Operations[[#This Row],[Annual Use]]=0,0,Operations[[#This Row],[Calc Beg Yr. Value]]*'General Variables'!$B$10/Operations[[#This Row],[Annual Use]])</f>
        <v>0.48263766785856971</v>
      </c>
      <c r="U55" s="116">
        <f>SUM(Operations[[#This Row],[Depreciation per Unit]:[Opportunity Cost per Unit]])</f>
        <v>1.5862696002824948</v>
      </c>
    </row>
    <row r="56" spans="1:21" ht="12.75" customHeight="1" x14ac:dyDescent="0.2">
      <c r="A56" s="135" t="s">
        <v>317</v>
      </c>
      <c r="B56" s="136" t="s">
        <v>71</v>
      </c>
      <c r="C56" s="136" t="s">
        <v>341</v>
      </c>
      <c r="D56" s="136" t="s">
        <v>358</v>
      </c>
      <c r="E56" s="147">
        <v>62545</v>
      </c>
      <c r="F56" s="139"/>
      <c r="G56" s="138">
        <v>5</v>
      </c>
      <c r="H56" s="138">
        <v>1000</v>
      </c>
      <c r="I56" s="143">
        <v>8</v>
      </c>
      <c r="J56" s="141">
        <v>1.2</v>
      </c>
      <c r="K56" s="137" t="s">
        <v>470</v>
      </c>
      <c r="L56" s="139">
        <v>4.2936802973977706</v>
      </c>
      <c r="M56" s="142"/>
      <c r="N56" s="9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62545</v>
      </c>
      <c r="O56" s="11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3.4796671202192933</v>
      </c>
      <c r="P56" s="9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31403.538544580526</v>
      </c>
      <c r="Q56" s="9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29945.338062854924</v>
      </c>
      <c r="R56" s="115">
        <f>IF(Operations[[#This Row],[Calc List Price]]=0,0,IF(Operations[[#This Row],[Units per Hour]]*Operations[[#This Row],[Annual Use]]=0,0,(Operations[[#This Row],[Calc Beg Yr. Value]]-Operations[[#This Row],[Calc End Yr. Value]])/(Operations[[#This Row],[Annual Use]])))</f>
        <v>1.458200481725602</v>
      </c>
      <c r="S56" s="116">
        <f>IF(Operations[[#This Row],[Annual Use]]=0,0,Operations[[#This Row],[Calc Beg Yr. Value]]*'General Variables'!$B$9/Operations[[#This Row],[Annual Use]])</f>
        <v>0.62807077089161056</v>
      </c>
      <c r="T56" s="116">
        <f>IF(Operations[[#This Row],[Annual Use]]=0,0,Operations[[#This Row],[Calc Beg Yr. Value]]*'General Variables'!$B$10/Operations[[#This Row],[Annual Use]])</f>
        <v>1.2561415417832211</v>
      </c>
      <c r="U56" s="116">
        <f>SUM(Operations[[#This Row],[Depreciation per Unit]:[Opportunity Cost per Unit]])</f>
        <v>3.3424127944004338</v>
      </c>
    </row>
    <row r="57" spans="1:21" ht="12.75" hidden="1" customHeight="1" x14ac:dyDescent="0.2">
      <c r="A57" s="135" t="s">
        <v>56</v>
      </c>
      <c r="B57" s="136" t="s">
        <v>71</v>
      </c>
      <c r="C57" s="137" t="s">
        <v>353</v>
      </c>
      <c r="D57" s="137" t="s">
        <v>357</v>
      </c>
      <c r="E57" s="138">
        <v>35000</v>
      </c>
      <c r="F57" s="139"/>
      <c r="G57" s="138">
        <v>5</v>
      </c>
      <c r="H57" s="138">
        <v>2500</v>
      </c>
      <c r="I57" s="145">
        <v>25</v>
      </c>
      <c r="J57" s="141">
        <v>1.25</v>
      </c>
      <c r="K57" s="137" t="s">
        <v>470</v>
      </c>
      <c r="L57" s="139">
        <v>2.64</v>
      </c>
      <c r="M57" s="142"/>
      <c r="N57" s="9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35000</v>
      </c>
      <c r="O57" s="11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0.62350246078706706</v>
      </c>
      <c r="P57" s="9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16895.973961381511</v>
      </c>
      <c r="Q57" s="9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15763.444210755948</v>
      </c>
      <c r="R57" s="115">
        <f>IF(Operations[[#This Row],[Calc List Price]]=0,0,IF(Operations[[#This Row],[Units per Hour]]*Operations[[#This Row],[Annual Use]]=0,0,(Operations[[#This Row],[Calc Beg Yr. Value]]-Operations[[#This Row],[Calc End Yr. Value]])/(Operations[[#This Row],[Annual Use]])))</f>
        <v>0.45301190025022514</v>
      </c>
      <c r="S57" s="116">
        <f>IF(Operations[[#This Row],[Annual Use]]=0,0,Operations[[#This Row],[Calc Beg Yr. Value]]*'General Variables'!$B$9/Operations[[#This Row],[Annual Use]])</f>
        <v>0.13516779169105209</v>
      </c>
      <c r="T57" s="116">
        <f>IF(Operations[[#This Row],[Annual Use]]=0,0,Operations[[#This Row],[Calc Beg Yr. Value]]*'General Variables'!$B$10/Operations[[#This Row],[Annual Use]])</f>
        <v>0.27033558338210417</v>
      </c>
      <c r="U57" s="116">
        <f>SUM(Operations[[#This Row],[Depreciation per Unit]:[Opportunity Cost per Unit]])</f>
        <v>0.85851527532338134</v>
      </c>
    </row>
    <row r="58" spans="1:21" ht="12.75" hidden="1" customHeight="1" x14ac:dyDescent="0.2">
      <c r="A58" s="135" t="s">
        <v>552</v>
      </c>
      <c r="B58" s="136" t="s">
        <v>71</v>
      </c>
      <c r="C58" s="137" t="s">
        <v>339</v>
      </c>
      <c r="D58" s="137" t="s">
        <v>356</v>
      </c>
      <c r="E58" s="138">
        <v>41688</v>
      </c>
      <c r="F58" s="139"/>
      <c r="G58" s="138">
        <v>5</v>
      </c>
      <c r="H58" s="138">
        <v>2000</v>
      </c>
      <c r="I58" s="143">
        <v>11</v>
      </c>
      <c r="J58" s="141">
        <v>1.3</v>
      </c>
      <c r="K58" s="137" t="s">
        <v>470</v>
      </c>
      <c r="L58" s="139">
        <v>8.2899999999999991</v>
      </c>
      <c r="M58" s="142"/>
      <c r="N58" s="9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41688</v>
      </c>
      <c r="O58" s="11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1.1593485021284804</v>
      </c>
      <c r="P58" s="9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17344.999222144874</v>
      </c>
      <c r="Q58" s="9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16105.409275591614</v>
      </c>
      <c r="R58" s="115">
        <f>IF(Operations[[#This Row],[Calc List Price]]=0,0,IF(Operations[[#This Row],[Units per Hour]]*Operations[[#This Row],[Annual Use]]=0,0,(Operations[[#This Row],[Calc Beg Yr. Value]]-Operations[[#This Row],[Calc End Yr. Value]])/(Operations[[#This Row],[Annual Use]])))</f>
        <v>0.61979497327663013</v>
      </c>
      <c r="S58" s="116">
        <f>IF(Operations[[#This Row],[Annual Use]]=0,0,Operations[[#This Row],[Calc Beg Yr. Value]]*'General Variables'!$B$9/Operations[[#This Row],[Annual Use]])</f>
        <v>0.17344999222144875</v>
      </c>
      <c r="T58" s="116">
        <f>IF(Operations[[#This Row],[Annual Use]]=0,0,Operations[[#This Row],[Calc Beg Yr. Value]]*'General Variables'!$B$10/Operations[[#This Row],[Annual Use]])</f>
        <v>0.34689998444289749</v>
      </c>
      <c r="U58" s="116">
        <f>SUM(Operations[[#This Row],[Depreciation per Unit]:[Opportunity Cost per Unit]])</f>
        <v>1.1401449499409764</v>
      </c>
    </row>
    <row r="59" spans="1:21" ht="12.75" hidden="1" customHeight="1" x14ac:dyDescent="0.2">
      <c r="A59" s="135" t="s">
        <v>551</v>
      </c>
      <c r="B59" s="136" t="s">
        <v>71</v>
      </c>
      <c r="C59" s="137" t="s">
        <v>338</v>
      </c>
      <c r="D59" s="137" t="s">
        <v>356</v>
      </c>
      <c r="E59" s="138">
        <v>58958</v>
      </c>
      <c r="F59" s="139"/>
      <c r="G59" s="138">
        <v>5</v>
      </c>
      <c r="H59" s="144">
        <v>2000</v>
      </c>
      <c r="I59" s="143">
        <v>15</v>
      </c>
      <c r="J59" s="141">
        <v>1.3</v>
      </c>
      <c r="K59" s="137" t="s">
        <v>470</v>
      </c>
      <c r="L59" s="139">
        <v>8.1999999999999993</v>
      </c>
      <c r="M59" s="142"/>
      <c r="N59" s="9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58958</v>
      </c>
      <c r="O59" s="11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1.3119582478570408</v>
      </c>
      <c r="P59" s="9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24530.475535866855</v>
      </c>
      <c r="Q59" s="9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22777.363271692819</v>
      </c>
      <c r="R59" s="115">
        <f>IF(Operations[[#This Row],[Calc List Price]]=0,0,IF(Operations[[#This Row],[Units per Hour]]*Operations[[#This Row],[Annual Use]]=0,0,(Operations[[#This Row],[Calc Beg Yr. Value]]-Operations[[#This Row],[Calc End Yr. Value]])/(Operations[[#This Row],[Annual Use]])))</f>
        <v>0.87655613208701832</v>
      </c>
      <c r="S59" s="116">
        <f>IF(Operations[[#This Row],[Annual Use]]=0,0,Operations[[#This Row],[Calc Beg Yr. Value]]*'General Variables'!$B$9/Operations[[#This Row],[Annual Use]])</f>
        <v>0.24530475535866855</v>
      </c>
      <c r="T59" s="116">
        <f>IF(Operations[[#This Row],[Annual Use]]=0,0,Operations[[#This Row],[Calc Beg Yr. Value]]*'General Variables'!$B$10/Operations[[#This Row],[Annual Use]])</f>
        <v>0.49060951071733711</v>
      </c>
      <c r="U59" s="116">
        <f>SUM(Operations[[#This Row],[Depreciation per Unit]:[Opportunity Cost per Unit]])</f>
        <v>1.612470398163024</v>
      </c>
    </row>
    <row r="60" spans="1:21" ht="12.75" hidden="1" customHeight="1" x14ac:dyDescent="0.2">
      <c r="A60" s="135" t="s">
        <v>553</v>
      </c>
      <c r="B60" s="136" t="s">
        <v>71</v>
      </c>
      <c r="C60" s="137" t="s">
        <v>353</v>
      </c>
      <c r="D60" s="137" t="s">
        <v>357</v>
      </c>
      <c r="E60" s="138">
        <v>35000</v>
      </c>
      <c r="F60" s="139"/>
      <c r="G60" s="138">
        <v>5</v>
      </c>
      <c r="H60" s="138">
        <v>2500</v>
      </c>
      <c r="I60" s="145">
        <v>25</v>
      </c>
      <c r="J60" s="141">
        <v>1.25</v>
      </c>
      <c r="K60" s="137" t="s">
        <v>470</v>
      </c>
      <c r="L60" s="139">
        <v>2.64</v>
      </c>
      <c r="M60" s="142"/>
      <c r="N60" s="9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35000</v>
      </c>
      <c r="O60" s="11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0.62350246078706706</v>
      </c>
      <c r="P60" s="9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16895.973961381511</v>
      </c>
      <c r="Q60" s="9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15763.444210755948</v>
      </c>
      <c r="R60" s="115">
        <f>IF(Operations[[#This Row],[Calc List Price]]=0,0,IF(Operations[[#This Row],[Units per Hour]]*Operations[[#This Row],[Annual Use]]=0,0,(Operations[[#This Row],[Calc Beg Yr. Value]]-Operations[[#This Row],[Calc End Yr. Value]])/(Operations[[#This Row],[Annual Use]])))</f>
        <v>0.45301190025022514</v>
      </c>
      <c r="S60" s="116">
        <f>IF(Operations[[#This Row],[Annual Use]]=0,0,Operations[[#This Row],[Calc Beg Yr. Value]]*'General Variables'!$B$9/Operations[[#This Row],[Annual Use]])</f>
        <v>0.13516779169105209</v>
      </c>
      <c r="T60" s="116">
        <f>IF(Operations[[#This Row],[Annual Use]]=0,0,Operations[[#This Row],[Calc Beg Yr. Value]]*'General Variables'!$B$10/Operations[[#This Row],[Annual Use]])</f>
        <v>0.27033558338210417</v>
      </c>
      <c r="U60" s="116">
        <f>SUM(Operations[[#This Row],[Depreciation per Unit]:[Opportunity Cost per Unit]])</f>
        <v>0.85851527532338134</v>
      </c>
    </row>
    <row r="61" spans="1:21" ht="12.75" hidden="1" customHeight="1" x14ac:dyDescent="0.2">
      <c r="A61" s="135" t="s">
        <v>566</v>
      </c>
      <c r="B61" s="136" t="s">
        <v>71</v>
      </c>
      <c r="C61" s="137" t="s">
        <v>354</v>
      </c>
      <c r="D61" s="137" t="s">
        <v>357</v>
      </c>
      <c r="E61" s="138">
        <v>35000</v>
      </c>
      <c r="F61" s="139"/>
      <c r="G61" s="138">
        <v>5</v>
      </c>
      <c r="H61" s="138">
        <v>1000</v>
      </c>
      <c r="I61" s="143">
        <v>25</v>
      </c>
      <c r="J61" s="141">
        <v>1.25</v>
      </c>
      <c r="K61" s="137" t="s">
        <v>470</v>
      </c>
      <c r="L61" s="139">
        <v>2.64</v>
      </c>
      <c r="M61" s="142"/>
      <c r="N61" s="9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35000</v>
      </c>
      <c r="O61" s="11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0.18054598306974995</v>
      </c>
      <c r="P61" s="9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16895.973961381511</v>
      </c>
      <c r="Q61" s="9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15763.444210755948</v>
      </c>
      <c r="R61" s="115">
        <f>IF(Operations[[#This Row],[Calc List Price]]=0,0,IF(Operations[[#This Row],[Units per Hour]]*Operations[[#This Row],[Annual Use]]=0,0,(Operations[[#This Row],[Calc Beg Yr. Value]]-Operations[[#This Row],[Calc End Yr. Value]])/(Operations[[#This Row],[Annual Use]])))</f>
        <v>1.1325297506255629</v>
      </c>
      <c r="S61" s="116">
        <f>IF(Operations[[#This Row],[Annual Use]]=0,0,Operations[[#This Row],[Calc Beg Yr. Value]]*'General Variables'!$B$9/Operations[[#This Row],[Annual Use]])</f>
        <v>0.33791947922763022</v>
      </c>
      <c r="T61" s="116">
        <f>IF(Operations[[#This Row],[Annual Use]]=0,0,Operations[[#This Row],[Calc Beg Yr. Value]]*'General Variables'!$B$10/Operations[[#This Row],[Annual Use]])</f>
        <v>0.67583895845526043</v>
      </c>
      <c r="U61" s="116">
        <f>SUM(Operations[[#This Row],[Depreciation per Unit]:[Opportunity Cost per Unit]])</f>
        <v>2.1462881883084535</v>
      </c>
    </row>
    <row r="62" spans="1:21" ht="12.75" hidden="1" customHeight="1" x14ac:dyDescent="0.2">
      <c r="A62" s="135" t="s">
        <v>564</v>
      </c>
      <c r="B62" s="136" t="s">
        <v>71</v>
      </c>
      <c r="C62" s="137" t="s">
        <v>354</v>
      </c>
      <c r="D62" s="137" t="s">
        <v>357</v>
      </c>
      <c r="E62" s="138">
        <v>35000</v>
      </c>
      <c r="F62" s="139"/>
      <c r="G62" s="138">
        <v>5</v>
      </c>
      <c r="H62" s="138">
        <v>1000</v>
      </c>
      <c r="I62" s="143">
        <v>25</v>
      </c>
      <c r="J62" s="141">
        <v>1.25</v>
      </c>
      <c r="K62" s="137" t="s">
        <v>470</v>
      </c>
      <c r="L62" s="139">
        <v>2.64</v>
      </c>
      <c r="M62" s="142"/>
      <c r="N62" s="9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35000</v>
      </c>
      <c r="O62" s="11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0.18054598306974995</v>
      </c>
      <c r="P62" s="9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16895.973961381511</v>
      </c>
      <c r="Q62" s="9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15763.444210755948</v>
      </c>
      <c r="R62" s="115">
        <f>IF(Operations[[#This Row],[Calc List Price]]=0,0,IF(Operations[[#This Row],[Units per Hour]]*Operations[[#This Row],[Annual Use]]=0,0,(Operations[[#This Row],[Calc Beg Yr. Value]]-Operations[[#This Row],[Calc End Yr. Value]])/(Operations[[#This Row],[Annual Use]])))</f>
        <v>1.1325297506255629</v>
      </c>
      <c r="S62" s="116">
        <f>IF(Operations[[#This Row],[Annual Use]]=0,0,Operations[[#This Row],[Calc Beg Yr. Value]]*'General Variables'!$B$9/Operations[[#This Row],[Annual Use]])</f>
        <v>0.33791947922763022</v>
      </c>
      <c r="T62" s="116">
        <f>IF(Operations[[#This Row],[Annual Use]]=0,0,Operations[[#This Row],[Calc Beg Yr. Value]]*'General Variables'!$B$10/Operations[[#This Row],[Annual Use]])</f>
        <v>0.67583895845526043</v>
      </c>
      <c r="U62" s="116">
        <f>SUM(Operations[[#This Row],[Depreciation per Unit]:[Opportunity Cost per Unit]])</f>
        <v>2.1462881883084535</v>
      </c>
    </row>
    <row r="63" spans="1:21" ht="12.75" hidden="1" customHeight="1" x14ac:dyDescent="0.2">
      <c r="A63" s="135" t="s">
        <v>319</v>
      </c>
      <c r="B63" s="136" t="s">
        <v>3</v>
      </c>
      <c r="C63" s="136"/>
      <c r="D63" s="136"/>
      <c r="E63" s="138"/>
      <c r="F63" s="139"/>
      <c r="G63" s="138"/>
      <c r="H63" s="138"/>
      <c r="I63" s="143"/>
      <c r="J63" s="141"/>
      <c r="K63" s="137"/>
      <c r="L63" s="139" t="s">
        <v>397</v>
      </c>
      <c r="M63" s="142"/>
      <c r="N63" s="9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63" s="11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63" s="9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63" s="9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63" s="115">
        <f>IF(Operations[[#This Row],[Calc List Price]]=0,0,IF(Operations[[#This Row],[Units per Hour]]*Operations[[#This Row],[Annual Use]]=0,0,(Operations[[#This Row],[Calc Beg Yr. Value]]-Operations[[#This Row],[Calc End Yr. Value]])/(Operations[[#This Row],[Annual Use]])))</f>
        <v>0</v>
      </c>
      <c r="S63" s="116">
        <f>IF(Operations[[#This Row],[Annual Use]]=0,0,Operations[[#This Row],[Calc Beg Yr. Value]]*'General Variables'!$B$9/Operations[[#This Row],[Annual Use]])</f>
        <v>0</v>
      </c>
      <c r="T63" s="116">
        <f>IF(Operations[[#This Row],[Annual Use]]=0,0,Operations[[#This Row],[Calc Beg Yr. Value]]*'General Variables'!$B$10/Operations[[#This Row],[Annual Use]])</f>
        <v>0</v>
      </c>
      <c r="U63" s="116">
        <f>SUM(Operations[[#This Row],[Depreciation per Unit]:[Opportunity Cost per Unit]])</f>
        <v>0</v>
      </c>
    </row>
    <row r="64" spans="1:21" ht="12.75" hidden="1" customHeight="1" x14ac:dyDescent="0.2">
      <c r="A64" s="135" t="s">
        <v>320</v>
      </c>
      <c r="B64" s="136" t="s">
        <v>71</v>
      </c>
      <c r="C64" s="136"/>
      <c r="D64" s="136"/>
      <c r="E64" s="138"/>
      <c r="F64" s="150"/>
      <c r="G64" s="138">
        <v>5</v>
      </c>
      <c r="H64" s="138">
        <v>1000</v>
      </c>
      <c r="I64" s="145">
        <v>12.7</v>
      </c>
      <c r="J64" s="141">
        <v>1</v>
      </c>
      <c r="K64" s="137" t="s">
        <v>470</v>
      </c>
      <c r="L64" s="139">
        <v>3.8617021276595755</v>
      </c>
      <c r="M64" s="142"/>
      <c r="N64" s="9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64" s="11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64" s="9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64" s="9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64" s="115">
        <f>IF(Operations[[#This Row],[Calc List Price]]=0,0,IF(Operations[[#This Row],[Units per Hour]]*Operations[[#This Row],[Annual Use]]=0,0,(Operations[[#This Row],[Calc Beg Yr. Value]]-Operations[[#This Row],[Calc End Yr. Value]])/(Operations[[#This Row],[Annual Use]])))</f>
        <v>0</v>
      </c>
      <c r="S64" s="116">
        <f>IF(Operations[[#This Row],[Annual Use]]=0,0,Operations[[#This Row],[Calc Beg Yr. Value]]*'General Variables'!$B$9/Operations[[#This Row],[Annual Use]])</f>
        <v>0</v>
      </c>
      <c r="T64" s="116">
        <f>IF(Operations[[#This Row],[Annual Use]]=0,0,Operations[[#This Row],[Calc Beg Yr. Value]]*'General Variables'!$B$10/Operations[[#This Row],[Annual Use]])</f>
        <v>0</v>
      </c>
      <c r="U64" s="116">
        <f>SUM(Operations[[#This Row],[Depreciation per Unit]:[Opportunity Cost per Unit]])</f>
        <v>0</v>
      </c>
    </row>
    <row r="65" spans="1:21" ht="12.75" customHeight="1" x14ac:dyDescent="0.2">
      <c r="A65" s="135" t="s">
        <v>318</v>
      </c>
      <c r="B65" s="136" t="s">
        <v>65</v>
      </c>
      <c r="C65" s="137" t="s">
        <v>352</v>
      </c>
      <c r="D65" s="137" t="s">
        <v>359</v>
      </c>
      <c r="E65" s="138">
        <v>23371</v>
      </c>
      <c r="F65" s="139"/>
      <c r="G65" s="138">
        <v>5</v>
      </c>
      <c r="H65" s="138">
        <v>1250</v>
      </c>
      <c r="I65" s="145">
        <v>4</v>
      </c>
      <c r="J65" s="141">
        <v>1.1000000000000001</v>
      </c>
      <c r="K65" s="137" t="s">
        <v>470</v>
      </c>
      <c r="L65" s="139">
        <v>3.5</v>
      </c>
      <c r="M65" s="142"/>
      <c r="N65" s="9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23371</v>
      </c>
      <c r="O65" s="11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3.7298553253380522</v>
      </c>
      <c r="P65" s="9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9163.1323991815898</v>
      </c>
      <c r="Q65" s="9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8543.1058575062943</v>
      </c>
      <c r="R65" s="115">
        <f>IF(Operations[[#This Row],[Calc List Price]]=0,0,IF(Operations[[#This Row],[Units per Hour]]*Operations[[#This Row],[Annual Use]]=0,0,(Operations[[#This Row],[Calc Beg Yr. Value]]-Operations[[#This Row],[Calc End Yr. Value]])/(Operations[[#This Row],[Annual Use]])))</f>
        <v>0.49602123334023634</v>
      </c>
      <c r="S65" s="116">
        <f>IF(Operations[[#This Row],[Annual Use]]=0,0,Operations[[#This Row],[Calc Beg Yr. Value]]*'General Variables'!$B$9/Operations[[#This Row],[Annual Use]])</f>
        <v>0.14661011838690544</v>
      </c>
      <c r="T65" s="116">
        <f>IF(Operations[[#This Row],[Annual Use]]=0,0,Operations[[#This Row],[Calc Beg Yr. Value]]*'General Variables'!$B$10/Operations[[#This Row],[Annual Use]])</f>
        <v>0.29322023677381087</v>
      </c>
      <c r="U65" s="116">
        <f>SUM(Operations[[#This Row],[Depreciation per Unit]:[Opportunity Cost per Unit]])</f>
        <v>0.93585158850095262</v>
      </c>
    </row>
    <row r="66" spans="1:21" ht="12.75" customHeight="1" x14ac:dyDescent="0.2">
      <c r="A66" s="135" t="s">
        <v>321</v>
      </c>
      <c r="B66" s="136" t="s">
        <v>64</v>
      </c>
      <c r="C66" s="137" t="s">
        <v>516</v>
      </c>
      <c r="D66" s="137" t="s">
        <v>331</v>
      </c>
      <c r="E66" s="138">
        <v>13000</v>
      </c>
      <c r="F66" s="139"/>
      <c r="G66" s="138">
        <v>5</v>
      </c>
      <c r="H66" s="138">
        <v>1250</v>
      </c>
      <c r="I66" s="145">
        <v>10</v>
      </c>
      <c r="J66" s="141">
        <v>1</v>
      </c>
      <c r="K66" s="137" t="s">
        <v>470</v>
      </c>
      <c r="L66" s="139">
        <v>2</v>
      </c>
      <c r="M66" s="142"/>
      <c r="N66" s="9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13000</v>
      </c>
      <c r="O66" s="11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0.28687733423438283</v>
      </c>
      <c r="P66" s="9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4487.3033637012804</v>
      </c>
      <c r="Q66" s="9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4195.5362494428273</v>
      </c>
      <c r="R66" s="115">
        <f>IF(Operations[[#This Row],[Calc List Price]]=0,0,IF(Operations[[#This Row],[Units per Hour]]*Operations[[#This Row],[Annual Use]]=0,0,(Operations[[#This Row],[Calc Beg Yr. Value]]-Operations[[#This Row],[Calc End Yr. Value]])/(Operations[[#This Row],[Annual Use]])))</f>
        <v>0.23341369140676252</v>
      </c>
      <c r="S66" s="116">
        <f>IF(Operations[[#This Row],[Annual Use]]=0,0,Operations[[#This Row],[Calc Beg Yr. Value]]*'General Variables'!$B$9/Operations[[#This Row],[Annual Use]])</f>
        <v>7.1796853819220491E-2</v>
      </c>
      <c r="T66" s="116">
        <f>IF(Operations[[#This Row],[Annual Use]]=0,0,Operations[[#This Row],[Calc Beg Yr. Value]]*'General Variables'!$B$10/Operations[[#This Row],[Annual Use]])</f>
        <v>0.14359370763844098</v>
      </c>
      <c r="U66" s="116">
        <f>SUM(Operations[[#This Row],[Depreciation per Unit]:[Opportunity Cost per Unit]])</f>
        <v>0.44880425286442399</v>
      </c>
    </row>
    <row r="67" spans="1:21" ht="12.75" customHeight="1" x14ac:dyDescent="0.2">
      <c r="A67" s="135" t="s">
        <v>322</v>
      </c>
      <c r="B67" s="136" t="s">
        <v>71</v>
      </c>
      <c r="C67" s="137" t="s">
        <v>335</v>
      </c>
      <c r="D67" s="137" t="s">
        <v>356</v>
      </c>
      <c r="E67" s="138">
        <v>12000</v>
      </c>
      <c r="F67" s="139"/>
      <c r="G67" s="138">
        <v>5</v>
      </c>
      <c r="H67" s="138">
        <v>500</v>
      </c>
      <c r="I67" s="143">
        <v>9</v>
      </c>
      <c r="J67" s="141">
        <v>1</v>
      </c>
      <c r="K67" s="137" t="s">
        <v>469</v>
      </c>
      <c r="L67" s="139">
        <v>8.25</v>
      </c>
      <c r="M67" s="142"/>
      <c r="N67" s="9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12000</v>
      </c>
      <c r="O67" s="11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0.3251749166083312</v>
      </c>
      <c r="P67" s="9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4992.8034606058936</v>
      </c>
      <c r="Q67" s="9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4635.9842474356974</v>
      </c>
      <c r="R67" s="115">
        <f>IF(Operations[[#This Row],[Calc List Price]]=0,0,IF(Operations[[#This Row],[Units per Hour]]*Operations[[#This Row],[Annual Use]]=0,0,(Operations[[#This Row],[Calc Beg Yr. Value]]-Operations[[#This Row],[Calc End Yr. Value]])/(Operations[[#This Row],[Annual Use]])))</f>
        <v>0.71363842634039243</v>
      </c>
      <c r="S67" s="116">
        <f>IF(Operations[[#This Row],[Annual Use]]=0,0,Operations[[#This Row],[Calc Beg Yr. Value]]*'General Variables'!$B$9/Operations[[#This Row],[Annual Use]])</f>
        <v>0.19971213842423574</v>
      </c>
      <c r="T67" s="116">
        <f>IF(Operations[[#This Row],[Annual Use]]=0,0,Operations[[#This Row],[Calc Beg Yr. Value]]*'General Variables'!$B$10/Operations[[#This Row],[Annual Use]])</f>
        <v>0.39942427684847148</v>
      </c>
      <c r="U67" s="116">
        <f>SUM(Operations[[#This Row],[Depreciation per Unit]:[Opportunity Cost per Unit]])</f>
        <v>1.3127748416130998</v>
      </c>
    </row>
    <row r="68" spans="1:21" ht="12.75" hidden="1" customHeight="1" x14ac:dyDescent="0.2">
      <c r="A68" s="135" t="s">
        <v>324</v>
      </c>
      <c r="B68" s="136" t="s">
        <v>71</v>
      </c>
      <c r="C68" s="137" t="s">
        <v>350</v>
      </c>
      <c r="D68" s="137" t="s">
        <v>358</v>
      </c>
      <c r="E68" s="148">
        <v>45000</v>
      </c>
      <c r="F68" s="139"/>
      <c r="G68" s="138">
        <v>5</v>
      </c>
      <c r="H68" s="138">
        <v>1000</v>
      </c>
      <c r="I68" s="143">
        <v>6</v>
      </c>
      <c r="J68" s="141">
        <v>1.1000000000000001</v>
      </c>
      <c r="K68" s="137" t="s">
        <v>469</v>
      </c>
      <c r="L68" s="139">
        <v>8.25</v>
      </c>
      <c r="M68" s="142"/>
      <c r="N68" s="9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45000</v>
      </c>
      <c r="O68" s="11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4.5806695543808731</v>
      </c>
      <c r="P68" s="9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22594.279870591152</v>
      </c>
      <c r="Q68" s="9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21545.130910999625</v>
      </c>
      <c r="R68" s="115">
        <f>IF(Operations[[#This Row],[Calc List Price]]=0,0,IF(Operations[[#This Row],[Units per Hour]]*Operations[[#This Row],[Annual Use]]=0,0,(Operations[[#This Row],[Calc Beg Yr. Value]]-Operations[[#This Row],[Calc End Yr. Value]])/(Operations[[#This Row],[Annual Use]])))</f>
        <v>1.0491489595915264</v>
      </c>
      <c r="S68" s="116">
        <f>IF(Operations[[#This Row],[Annual Use]]=0,0,Operations[[#This Row],[Calc Beg Yr. Value]]*'General Variables'!$B$9/Operations[[#This Row],[Annual Use]])</f>
        <v>0.45188559741182305</v>
      </c>
      <c r="T68" s="116">
        <f>IF(Operations[[#This Row],[Annual Use]]=0,0,Operations[[#This Row],[Calc Beg Yr. Value]]*'General Variables'!$B$10/Operations[[#This Row],[Annual Use]])</f>
        <v>0.9037711948236461</v>
      </c>
      <c r="U68" s="116">
        <f>SUM(Operations[[#This Row],[Depreciation per Unit]:[Opportunity Cost per Unit]])</f>
        <v>2.4048057518269954</v>
      </c>
    </row>
    <row r="69" spans="1:21" ht="12.75" hidden="1" customHeight="1" x14ac:dyDescent="0.2">
      <c r="A69" s="135" t="s">
        <v>325</v>
      </c>
      <c r="B69" s="136" t="s">
        <v>71</v>
      </c>
      <c r="C69" s="137" t="s">
        <v>355</v>
      </c>
      <c r="D69" s="137" t="s">
        <v>331</v>
      </c>
      <c r="E69" s="138">
        <v>50000</v>
      </c>
      <c r="F69" s="150"/>
      <c r="G69" s="138">
        <v>5</v>
      </c>
      <c r="H69" s="138">
        <v>1000</v>
      </c>
      <c r="I69" s="143">
        <v>5.7894736842105274</v>
      </c>
      <c r="J69" s="141">
        <v>1</v>
      </c>
      <c r="K69" s="137" t="s">
        <v>470</v>
      </c>
      <c r="L69" s="139">
        <v>3.5</v>
      </c>
      <c r="M69" s="142"/>
      <c r="N69" s="9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50000</v>
      </c>
      <c r="O69" s="11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3.3156035000791926</v>
      </c>
      <c r="P69" s="9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17258.859091158771</v>
      </c>
      <c r="Q69" s="9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16136.677882472412</v>
      </c>
      <c r="R69" s="115">
        <f>IF(Operations[[#This Row],[Calc List Price]]=0,0,IF(Operations[[#This Row],[Units per Hour]]*Operations[[#This Row],[Annual Use]]=0,0,(Operations[[#This Row],[Calc Beg Yr. Value]]-Operations[[#This Row],[Calc End Yr. Value]])/(Operations[[#This Row],[Annual Use]])))</f>
        <v>1.1221812086863592</v>
      </c>
      <c r="S69" s="116">
        <f>IF(Operations[[#This Row],[Annual Use]]=0,0,Operations[[#This Row],[Calc Beg Yr. Value]]*'General Variables'!$B$9/Operations[[#This Row],[Annual Use]])</f>
        <v>0.34517718182317542</v>
      </c>
      <c r="T69" s="116">
        <f>IF(Operations[[#This Row],[Annual Use]]=0,0,Operations[[#This Row],[Calc Beg Yr. Value]]*'General Variables'!$B$10/Operations[[#This Row],[Annual Use]])</f>
        <v>0.69035436364635083</v>
      </c>
      <c r="U69" s="116">
        <f>SUM(Operations[[#This Row],[Depreciation per Unit]:[Opportunity Cost per Unit]])</f>
        <v>2.1577127541558854</v>
      </c>
    </row>
    <row r="70" spans="1:21" ht="12.75" hidden="1" customHeight="1" x14ac:dyDescent="0.2">
      <c r="A70" s="135" t="s">
        <v>326</v>
      </c>
      <c r="B70" s="136" t="s">
        <v>3</v>
      </c>
      <c r="C70" s="136"/>
      <c r="D70" s="136"/>
      <c r="E70" s="138"/>
      <c r="F70" s="139"/>
      <c r="G70" s="138">
        <v>5</v>
      </c>
      <c r="H70" s="138"/>
      <c r="I70" s="143" t="s">
        <v>397</v>
      </c>
      <c r="J70" s="141"/>
      <c r="K70" s="137" t="s">
        <v>469</v>
      </c>
      <c r="L70" s="139" t="s">
        <v>397</v>
      </c>
      <c r="M70" s="142"/>
      <c r="N70" s="9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70" s="11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70" s="9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70" s="9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70" s="115">
        <f>IF(Operations[[#This Row],[Calc List Price]]=0,0,IF(Operations[[#This Row],[Units per Hour]]*Operations[[#This Row],[Annual Use]]=0,0,(Operations[[#This Row],[Calc Beg Yr. Value]]-Operations[[#This Row],[Calc End Yr. Value]])/(Operations[[#This Row],[Annual Use]])))</f>
        <v>0</v>
      </c>
      <c r="S70" s="116">
        <f>IF(Operations[[#This Row],[Annual Use]]=0,0,Operations[[#This Row],[Calc Beg Yr. Value]]*'General Variables'!$B$9/Operations[[#This Row],[Annual Use]])</f>
        <v>0</v>
      </c>
      <c r="T70" s="116">
        <f>IF(Operations[[#This Row],[Annual Use]]=0,0,Operations[[#This Row],[Calc Beg Yr. Value]]*'General Variables'!$B$10/Operations[[#This Row],[Annual Use]])</f>
        <v>0</v>
      </c>
      <c r="U70" s="116">
        <f>SUM(Operations[[#This Row],[Depreciation per Unit]:[Opportunity Cost per Unit]])</f>
        <v>0</v>
      </c>
    </row>
    <row r="71" spans="1:21" ht="12.75" hidden="1" customHeight="1" x14ac:dyDescent="0.2">
      <c r="A71" s="135" t="s">
        <v>327</v>
      </c>
      <c r="B71" s="136" t="s">
        <v>71</v>
      </c>
      <c r="C71" s="137" t="s">
        <v>340</v>
      </c>
      <c r="D71" s="137" t="s">
        <v>331</v>
      </c>
      <c r="E71" s="138">
        <v>7187</v>
      </c>
      <c r="F71" s="139"/>
      <c r="G71" s="138">
        <v>5</v>
      </c>
      <c r="H71" s="138">
        <v>1000</v>
      </c>
      <c r="I71" s="145">
        <v>12</v>
      </c>
      <c r="J71" s="141">
        <v>1</v>
      </c>
      <c r="K71" s="137" t="s">
        <v>470</v>
      </c>
      <c r="L71" s="139">
        <v>2.0971962616822433</v>
      </c>
      <c r="M71" s="142"/>
      <c r="N71" s="9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7187</v>
      </c>
      <c r="O71" s="11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0.1042970664850804</v>
      </c>
      <c r="P71" s="9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2480.7884057631618</v>
      </c>
      <c r="Q71" s="9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2319.4860788265842</v>
      </c>
      <c r="R71" s="115">
        <f>IF(Operations[[#This Row],[Calc List Price]]=0,0,IF(Operations[[#This Row],[Units per Hour]]*Operations[[#This Row],[Annual Use]]=0,0,(Operations[[#This Row],[Calc Beg Yr. Value]]-Operations[[#This Row],[Calc End Yr. Value]])/(Operations[[#This Row],[Annual Use]])))</f>
        <v>0.16130232693657762</v>
      </c>
      <c r="S71" s="116">
        <f>IF(Operations[[#This Row],[Annual Use]]=0,0,Operations[[#This Row],[Calc Beg Yr. Value]]*'General Variables'!$B$9/Operations[[#This Row],[Annual Use]])</f>
        <v>4.9615768115263234E-2</v>
      </c>
      <c r="T71" s="116">
        <f>IF(Operations[[#This Row],[Annual Use]]=0,0,Operations[[#This Row],[Calc Beg Yr. Value]]*'General Variables'!$B$10/Operations[[#This Row],[Annual Use]])</f>
        <v>9.9231536230526468E-2</v>
      </c>
      <c r="U71" s="116">
        <f>SUM(Operations[[#This Row],[Depreciation per Unit]:[Opportunity Cost per Unit]])</f>
        <v>0.31014963128236728</v>
      </c>
    </row>
    <row r="72" spans="1:21" ht="12.75" customHeight="1" x14ac:dyDescent="0.2">
      <c r="A72" s="135" t="s">
        <v>323</v>
      </c>
      <c r="B72" s="136" t="s">
        <v>71</v>
      </c>
      <c r="C72" s="137" t="s">
        <v>580</v>
      </c>
      <c r="D72" s="137" t="s">
        <v>331</v>
      </c>
      <c r="E72" s="138">
        <v>10000</v>
      </c>
      <c r="F72" s="139"/>
      <c r="G72" s="138">
        <v>5</v>
      </c>
      <c r="H72" s="138">
        <v>1000</v>
      </c>
      <c r="I72" s="145">
        <v>8</v>
      </c>
      <c r="J72" s="141">
        <v>1</v>
      </c>
      <c r="K72" s="137" t="s">
        <v>330</v>
      </c>
      <c r="L72" s="139">
        <v>5</v>
      </c>
      <c r="M72" s="142"/>
      <c r="N72" s="9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10000</v>
      </c>
      <c r="O72" s="11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0.28742353743761345</v>
      </c>
      <c r="P72" s="9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3451.771818231754</v>
      </c>
      <c r="Q72" s="9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3227.3355764944822</v>
      </c>
      <c r="R72" s="115">
        <f>IF(Operations[[#This Row],[Calc List Price]]=0,0,IF(Operations[[#This Row],[Units per Hour]]*Operations[[#This Row],[Annual Use]]=0,0,(Operations[[#This Row],[Calc Beg Yr. Value]]-Operations[[#This Row],[Calc End Yr. Value]])/(Operations[[#This Row],[Annual Use]])))</f>
        <v>0.22443624173727175</v>
      </c>
      <c r="S72" s="116">
        <f>IF(Operations[[#This Row],[Annual Use]]=0,0,Operations[[#This Row],[Calc Beg Yr. Value]]*'General Variables'!$B$9/Operations[[#This Row],[Annual Use]])</f>
        <v>6.9035436364635078E-2</v>
      </c>
      <c r="T72" s="116">
        <f>IF(Operations[[#This Row],[Annual Use]]=0,0,Operations[[#This Row],[Calc Beg Yr. Value]]*'General Variables'!$B$10/Operations[[#This Row],[Annual Use]])</f>
        <v>0.13807087272927016</v>
      </c>
      <c r="U72" s="116">
        <f>SUM(Operations[[#This Row],[Depreciation per Unit]:[Opportunity Cost per Unit]])</f>
        <v>0.43154255083117699</v>
      </c>
    </row>
    <row r="73" spans="1:21" ht="12.75" customHeight="1" x14ac:dyDescent="0.2">
      <c r="A73" s="152" t="s">
        <v>328</v>
      </c>
      <c r="B73" s="153" t="s">
        <v>71</v>
      </c>
      <c r="C73" s="154" t="s">
        <v>580</v>
      </c>
      <c r="D73" s="154" t="s">
        <v>331</v>
      </c>
      <c r="E73" s="138">
        <v>10000</v>
      </c>
      <c r="F73" s="139"/>
      <c r="G73" s="138">
        <v>5</v>
      </c>
      <c r="H73" s="138">
        <v>500</v>
      </c>
      <c r="I73" s="143">
        <v>10</v>
      </c>
      <c r="J73" s="141">
        <v>1</v>
      </c>
      <c r="K73" s="154" t="s">
        <v>330</v>
      </c>
      <c r="L73" s="139">
        <v>5</v>
      </c>
      <c r="M73" s="142"/>
      <c r="N73" s="9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10000</v>
      </c>
      <c r="O73" s="11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0.13269309133336402</v>
      </c>
      <c r="P73" s="9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3451.771818231754</v>
      </c>
      <c r="Q73" s="9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3227.3355764944822</v>
      </c>
      <c r="R73" s="115">
        <f>IF(Operations[[#This Row],[Calc List Price]]=0,0,IF(Operations[[#This Row],[Units per Hour]]*Operations[[#This Row],[Annual Use]]=0,0,(Operations[[#This Row],[Calc Beg Yr. Value]]-Operations[[#This Row],[Calc End Yr. Value]])/(Operations[[#This Row],[Annual Use]])))</f>
        <v>0.4488724834745435</v>
      </c>
      <c r="S73" s="116">
        <f>IF(Operations[[#This Row],[Annual Use]]=0,0,Operations[[#This Row],[Calc Beg Yr. Value]]*'General Variables'!$B$9/Operations[[#This Row],[Annual Use]])</f>
        <v>0.13807087272927016</v>
      </c>
      <c r="T73" s="116">
        <f>IF(Operations[[#This Row],[Annual Use]]=0,0,Operations[[#This Row],[Calc Beg Yr. Value]]*'General Variables'!$B$10/Operations[[#This Row],[Annual Use]])</f>
        <v>0.27614174545854031</v>
      </c>
      <c r="U73" s="116">
        <f>SUM(Operations[[#This Row],[Depreciation per Unit]:[Opportunity Cost per Unit]])</f>
        <v>0.86308510166235397</v>
      </c>
    </row>
    <row r="74" spans="1:21" ht="12.75" customHeight="1" x14ac:dyDescent="0.2">
      <c r="A74" s="152"/>
      <c r="B74" s="153"/>
      <c r="C74" s="154"/>
      <c r="D74" s="154"/>
      <c r="E74" s="138"/>
      <c r="F74" s="139"/>
      <c r="G74" s="138"/>
      <c r="H74" s="138"/>
      <c r="I74" s="140"/>
      <c r="J74" s="141"/>
      <c r="K74" s="154"/>
      <c r="L74" s="139"/>
      <c r="M74" s="142"/>
      <c r="N74" s="9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74" s="11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74" s="9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74" s="9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74" s="115">
        <f>IF(Operations[[#This Row],[Calc List Price]]=0,0,IF(Operations[[#This Row],[Units per Hour]]*Operations[[#This Row],[Annual Use]]=0,0,(Operations[[#This Row],[Calc Beg Yr. Value]]-Operations[[#This Row],[Calc End Yr. Value]])/(Operations[[#This Row],[Annual Use]])))</f>
        <v>0</v>
      </c>
      <c r="S74" s="116">
        <f>IF(Operations[[#This Row],[Annual Use]]=0,0,Operations[[#This Row],[Calc Beg Yr. Value]]*'General Variables'!$B$9/Operations[[#This Row],[Annual Use]])</f>
        <v>0</v>
      </c>
      <c r="T74" s="116">
        <f>IF(Operations[[#This Row],[Annual Use]]=0,0,Operations[[#This Row],[Calc Beg Yr. Value]]*'General Variables'!$B$10/Operations[[#This Row],[Annual Use]])</f>
        <v>0</v>
      </c>
      <c r="U74" s="116">
        <f>SUM(Operations[[#This Row],[Depreciation per Unit]:[Opportunity Cost per Unit]])</f>
        <v>0</v>
      </c>
    </row>
    <row r="75" spans="1:21" ht="12.75" customHeight="1" x14ac:dyDescent="0.2">
      <c r="A75" s="152"/>
      <c r="B75" s="153"/>
      <c r="C75" s="154"/>
      <c r="D75" s="154"/>
      <c r="E75" s="138"/>
      <c r="F75" s="139"/>
      <c r="G75" s="138"/>
      <c r="H75" s="138"/>
      <c r="I75" s="140"/>
      <c r="J75" s="141"/>
      <c r="K75" s="154"/>
      <c r="L75" s="139"/>
      <c r="M75" s="142"/>
      <c r="N75" s="9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75" s="11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75" s="9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75" s="9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75" s="115">
        <f>IF(Operations[[#This Row],[Calc List Price]]=0,0,IF(Operations[[#This Row],[Units per Hour]]*Operations[[#This Row],[Annual Use]]=0,0,(Operations[[#This Row],[Calc Beg Yr. Value]]-Operations[[#This Row],[Calc End Yr. Value]])/(Operations[[#This Row],[Annual Use]])))</f>
        <v>0</v>
      </c>
      <c r="S75" s="116">
        <f>IF(Operations[[#This Row],[Annual Use]]=0,0,Operations[[#This Row],[Calc Beg Yr. Value]]*'General Variables'!$B$9/Operations[[#This Row],[Annual Use]])</f>
        <v>0</v>
      </c>
      <c r="T75" s="116">
        <f>IF(Operations[[#This Row],[Annual Use]]=0,0,Operations[[#This Row],[Calc Beg Yr. Value]]*'General Variables'!$B$10/Operations[[#This Row],[Annual Use]])</f>
        <v>0</v>
      </c>
      <c r="U75" s="116">
        <f>SUM(Operations[[#This Row],[Depreciation per Unit]:[Opportunity Cost per Unit]])</f>
        <v>0</v>
      </c>
    </row>
    <row r="76" spans="1:21" ht="12.75" customHeight="1" x14ac:dyDescent="0.2">
      <c r="A76" s="152"/>
      <c r="B76" s="153"/>
      <c r="C76" s="154"/>
      <c r="D76" s="154"/>
      <c r="E76" s="138"/>
      <c r="F76" s="139"/>
      <c r="G76" s="138"/>
      <c r="H76" s="138"/>
      <c r="I76" s="140"/>
      <c r="J76" s="141"/>
      <c r="K76" s="154"/>
      <c r="L76" s="139"/>
      <c r="M76" s="142"/>
      <c r="N76" s="9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76" s="11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76" s="9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76" s="9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76" s="115">
        <f>IF(Operations[[#This Row],[Calc List Price]]=0,0,IF(Operations[[#This Row],[Units per Hour]]*Operations[[#This Row],[Annual Use]]=0,0,(Operations[[#This Row],[Calc Beg Yr. Value]]-Operations[[#This Row],[Calc End Yr. Value]])/(Operations[[#This Row],[Annual Use]])))</f>
        <v>0</v>
      </c>
      <c r="S76" s="116">
        <f>IF(Operations[[#This Row],[Annual Use]]=0,0,Operations[[#This Row],[Calc Beg Yr. Value]]*'General Variables'!$B$9/Operations[[#This Row],[Annual Use]])</f>
        <v>0</v>
      </c>
      <c r="T76" s="116">
        <f>IF(Operations[[#This Row],[Annual Use]]=0,0,Operations[[#This Row],[Calc Beg Yr. Value]]*'General Variables'!$B$10/Operations[[#This Row],[Annual Use]])</f>
        <v>0</v>
      </c>
      <c r="U76" s="116">
        <f>SUM(Operations[[#This Row],[Depreciation per Unit]:[Opportunity Cost per Unit]])</f>
        <v>0</v>
      </c>
    </row>
    <row r="77" spans="1:21" ht="12.75" customHeight="1" x14ac:dyDescent="0.2">
      <c r="A77" s="152"/>
      <c r="B77" s="153"/>
      <c r="C77" s="154"/>
      <c r="D77" s="154"/>
      <c r="E77" s="138"/>
      <c r="F77" s="139"/>
      <c r="G77" s="138"/>
      <c r="H77" s="138"/>
      <c r="I77" s="140"/>
      <c r="J77" s="141"/>
      <c r="K77" s="154"/>
      <c r="L77" s="139"/>
      <c r="M77" s="142"/>
      <c r="N77" s="9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77" s="11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77" s="9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77" s="9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77" s="115">
        <f>IF(Operations[[#This Row],[Calc List Price]]=0,0,IF(Operations[[#This Row],[Units per Hour]]*Operations[[#This Row],[Annual Use]]=0,0,(Operations[[#This Row],[Calc Beg Yr. Value]]-Operations[[#This Row],[Calc End Yr. Value]])/(Operations[[#This Row],[Annual Use]])))</f>
        <v>0</v>
      </c>
      <c r="S77" s="116">
        <f>IF(Operations[[#This Row],[Annual Use]]=0,0,Operations[[#This Row],[Calc Beg Yr. Value]]*'General Variables'!$B$9/Operations[[#This Row],[Annual Use]])</f>
        <v>0</v>
      </c>
      <c r="T77" s="116">
        <f>IF(Operations[[#This Row],[Annual Use]]=0,0,Operations[[#This Row],[Calc Beg Yr. Value]]*'General Variables'!$B$10/Operations[[#This Row],[Annual Use]])</f>
        <v>0</v>
      </c>
      <c r="U77" s="116">
        <f>SUM(Operations[[#This Row],[Depreciation per Unit]:[Opportunity Cost per Unit]])</f>
        <v>0</v>
      </c>
    </row>
    <row r="78" spans="1:21" ht="12.75" customHeight="1" x14ac:dyDescent="0.2">
      <c r="A78" s="152"/>
      <c r="B78" s="153"/>
      <c r="C78" s="154"/>
      <c r="D78" s="154"/>
      <c r="E78" s="138"/>
      <c r="F78" s="139"/>
      <c r="G78" s="138"/>
      <c r="H78" s="138"/>
      <c r="I78" s="140"/>
      <c r="J78" s="141"/>
      <c r="K78" s="154"/>
      <c r="L78" s="139"/>
      <c r="M78" s="142"/>
      <c r="N78" s="9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78" s="11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78" s="9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78" s="9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78" s="115">
        <f>IF(Operations[[#This Row],[Calc List Price]]=0,0,IF(Operations[[#This Row],[Units per Hour]]*Operations[[#This Row],[Annual Use]]=0,0,(Operations[[#This Row],[Calc Beg Yr. Value]]-Operations[[#This Row],[Calc End Yr. Value]])/(Operations[[#This Row],[Annual Use]])))</f>
        <v>0</v>
      </c>
      <c r="S78" s="116">
        <f>IF(Operations[[#This Row],[Annual Use]]=0,0,Operations[[#This Row],[Calc Beg Yr. Value]]*'General Variables'!$B$9/Operations[[#This Row],[Annual Use]])</f>
        <v>0</v>
      </c>
      <c r="T78" s="116">
        <f>IF(Operations[[#This Row],[Annual Use]]=0,0,Operations[[#This Row],[Calc Beg Yr. Value]]*'General Variables'!$B$10/Operations[[#This Row],[Annual Use]])</f>
        <v>0</v>
      </c>
      <c r="U78" s="116">
        <f>SUM(Operations[[#This Row],[Depreciation per Unit]:[Opportunity Cost per Unit]])</f>
        <v>0</v>
      </c>
    </row>
    <row r="79" spans="1:21" ht="12.75" customHeight="1" x14ac:dyDescent="0.2">
      <c r="A79" s="152"/>
      <c r="B79" s="153"/>
      <c r="C79" s="154"/>
      <c r="D79" s="154"/>
      <c r="E79" s="138"/>
      <c r="F79" s="139"/>
      <c r="G79" s="138"/>
      <c r="H79" s="138"/>
      <c r="I79" s="140"/>
      <c r="J79" s="141"/>
      <c r="K79" s="154"/>
      <c r="L79" s="139"/>
      <c r="M79" s="142"/>
      <c r="N79" s="9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79" s="11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79" s="9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79" s="9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79" s="115">
        <f>IF(Operations[[#This Row],[Calc List Price]]=0,0,IF(Operations[[#This Row],[Units per Hour]]*Operations[[#This Row],[Annual Use]]=0,0,(Operations[[#This Row],[Calc Beg Yr. Value]]-Operations[[#This Row],[Calc End Yr. Value]])/(Operations[[#This Row],[Annual Use]])))</f>
        <v>0</v>
      </c>
      <c r="S79" s="116">
        <f>IF(Operations[[#This Row],[Annual Use]]=0,0,Operations[[#This Row],[Calc Beg Yr. Value]]*'General Variables'!$B$9/Operations[[#This Row],[Annual Use]])</f>
        <v>0</v>
      </c>
      <c r="T79" s="116">
        <f>IF(Operations[[#This Row],[Annual Use]]=0,0,Operations[[#This Row],[Calc Beg Yr. Value]]*'General Variables'!$B$10/Operations[[#This Row],[Annual Use]])</f>
        <v>0</v>
      </c>
      <c r="U79" s="116">
        <f>SUM(Operations[[#This Row],[Depreciation per Unit]:[Opportunity Cost per Unit]])</f>
        <v>0</v>
      </c>
    </row>
    <row r="80" spans="1:21" ht="12.75" customHeight="1" x14ac:dyDescent="0.2">
      <c r="A80" s="152"/>
      <c r="B80" s="153"/>
      <c r="C80" s="154"/>
      <c r="D80" s="154"/>
      <c r="E80" s="138"/>
      <c r="F80" s="139"/>
      <c r="G80" s="138"/>
      <c r="H80" s="138"/>
      <c r="I80" s="140"/>
      <c r="J80" s="141"/>
      <c r="K80" s="154"/>
      <c r="L80" s="139"/>
      <c r="M80" s="142"/>
      <c r="N80" s="9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80" s="11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80" s="9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80" s="9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80" s="115">
        <f>IF(Operations[[#This Row],[Calc List Price]]=0,0,IF(Operations[[#This Row],[Units per Hour]]*Operations[[#This Row],[Annual Use]]=0,0,(Operations[[#This Row],[Calc Beg Yr. Value]]-Operations[[#This Row],[Calc End Yr. Value]])/(Operations[[#This Row],[Annual Use]])))</f>
        <v>0</v>
      </c>
      <c r="S80" s="116">
        <f>IF(Operations[[#This Row],[Annual Use]]=0,0,Operations[[#This Row],[Calc Beg Yr. Value]]*'General Variables'!$B$9/Operations[[#This Row],[Annual Use]])</f>
        <v>0</v>
      </c>
      <c r="T80" s="116">
        <f>IF(Operations[[#This Row],[Annual Use]]=0,0,Operations[[#This Row],[Calc Beg Yr. Value]]*'General Variables'!$B$10/Operations[[#This Row],[Annual Use]])</f>
        <v>0</v>
      </c>
      <c r="U80" s="116">
        <f>SUM(Operations[[#This Row],[Depreciation per Unit]:[Opportunity Cost per Unit]])</f>
        <v>0</v>
      </c>
    </row>
    <row r="81" spans="1:21" ht="12.75" customHeight="1" x14ac:dyDescent="0.2">
      <c r="A81" s="152"/>
      <c r="B81" s="153"/>
      <c r="C81" s="154"/>
      <c r="D81" s="154"/>
      <c r="E81" s="138"/>
      <c r="F81" s="139"/>
      <c r="G81" s="138"/>
      <c r="H81" s="138"/>
      <c r="I81" s="140"/>
      <c r="J81" s="141"/>
      <c r="K81" s="154"/>
      <c r="L81" s="139"/>
      <c r="M81" s="142"/>
      <c r="N81" s="9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81" s="11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81" s="9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81" s="9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81" s="115">
        <f>IF(Operations[[#This Row],[Calc List Price]]=0,0,IF(Operations[[#This Row],[Units per Hour]]*Operations[[#This Row],[Annual Use]]=0,0,(Operations[[#This Row],[Calc Beg Yr. Value]]-Operations[[#This Row],[Calc End Yr. Value]])/(Operations[[#This Row],[Annual Use]])))</f>
        <v>0</v>
      </c>
      <c r="S81" s="116">
        <f>IF(Operations[[#This Row],[Annual Use]]=0,0,Operations[[#This Row],[Calc Beg Yr. Value]]*'General Variables'!$B$9/Operations[[#This Row],[Annual Use]])</f>
        <v>0</v>
      </c>
      <c r="T81" s="116">
        <f>IF(Operations[[#This Row],[Annual Use]]=0,0,Operations[[#This Row],[Calc Beg Yr. Value]]*'General Variables'!$B$10/Operations[[#This Row],[Annual Use]])</f>
        <v>0</v>
      </c>
      <c r="U81" s="116">
        <f>SUM(Operations[[#This Row],[Depreciation per Unit]:[Opportunity Cost per Unit]])</f>
        <v>0</v>
      </c>
    </row>
    <row r="82" spans="1:21" ht="12.75" customHeight="1" x14ac:dyDescent="0.2">
      <c r="A82" s="152"/>
      <c r="B82" s="153"/>
      <c r="C82" s="154"/>
      <c r="D82" s="154"/>
      <c r="E82" s="138"/>
      <c r="F82" s="139"/>
      <c r="G82" s="138"/>
      <c r="H82" s="138"/>
      <c r="I82" s="140"/>
      <c r="J82" s="141"/>
      <c r="K82" s="154"/>
      <c r="L82" s="139"/>
      <c r="M82" s="142"/>
      <c r="N82" s="9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82" s="11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82" s="9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82" s="9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82" s="115">
        <f>IF(Operations[[#This Row],[Calc List Price]]=0,0,IF(Operations[[#This Row],[Units per Hour]]*Operations[[#This Row],[Annual Use]]=0,0,(Operations[[#This Row],[Calc Beg Yr. Value]]-Operations[[#This Row],[Calc End Yr. Value]])/(Operations[[#This Row],[Annual Use]])))</f>
        <v>0</v>
      </c>
      <c r="S82" s="116">
        <f>IF(Operations[[#This Row],[Annual Use]]=0,0,Operations[[#This Row],[Calc Beg Yr. Value]]*'General Variables'!$B$9/Operations[[#This Row],[Annual Use]])</f>
        <v>0</v>
      </c>
      <c r="T82" s="116">
        <f>IF(Operations[[#This Row],[Annual Use]]=0,0,Operations[[#This Row],[Calc Beg Yr. Value]]*'General Variables'!$B$10/Operations[[#This Row],[Annual Use]])</f>
        <v>0</v>
      </c>
      <c r="U82" s="116">
        <f>SUM(Operations[[#This Row],[Depreciation per Unit]:[Opportunity Cost per Unit]])</f>
        <v>0</v>
      </c>
    </row>
    <row r="83" spans="1:21" ht="12.75" customHeight="1" x14ac:dyDescent="0.2">
      <c r="A83" s="152"/>
      <c r="B83" s="153"/>
      <c r="C83" s="154"/>
      <c r="D83" s="154"/>
      <c r="E83" s="138"/>
      <c r="F83" s="139"/>
      <c r="G83" s="138"/>
      <c r="H83" s="138"/>
      <c r="I83" s="140"/>
      <c r="J83" s="141"/>
      <c r="K83" s="154"/>
      <c r="L83" s="139"/>
      <c r="M83" s="142"/>
      <c r="N83" s="9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83" s="11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83" s="9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83" s="9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83" s="115">
        <f>IF(Operations[[#This Row],[Calc List Price]]=0,0,IF(Operations[[#This Row],[Units per Hour]]*Operations[[#This Row],[Annual Use]]=0,0,(Operations[[#This Row],[Calc Beg Yr. Value]]-Operations[[#This Row],[Calc End Yr. Value]])/(Operations[[#This Row],[Annual Use]])))</f>
        <v>0</v>
      </c>
      <c r="S83" s="116">
        <f>IF(Operations[[#This Row],[Annual Use]]=0,0,Operations[[#This Row],[Calc Beg Yr. Value]]*'General Variables'!$B$9/Operations[[#This Row],[Annual Use]])</f>
        <v>0</v>
      </c>
      <c r="T83" s="116">
        <f>IF(Operations[[#This Row],[Annual Use]]=0,0,Operations[[#This Row],[Calc Beg Yr. Value]]*'General Variables'!$B$10/Operations[[#This Row],[Annual Use]])</f>
        <v>0</v>
      </c>
      <c r="U83" s="116">
        <f>SUM(Operations[[#This Row],[Depreciation per Unit]:[Opportunity Cost per Unit]])</f>
        <v>0</v>
      </c>
    </row>
    <row r="84" spans="1:21" ht="12.75" customHeight="1" x14ac:dyDescent="0.2">
      <c r="A84" s="152"/>
      <c r="B84" s="153"/>
      <c r="C84" s="154"/>
      <c r="D84" s="154"/>
      <c r="E84" s="138"/>
      <c r="F84" s="139"/>
      <c r="G84" s="138"/>
      <c r="H84" s="138"/>
      <c r="I84" s="140"/>
      <c r="J84" s="141"/>
      <c r="K84" s="154"/>
      <c r="L84" s="139"/>
      <c r="M84" s="142"/>
      <c r="N84" s="9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84" s="11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84" s="9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84" s="9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84" s="115">
        <f>IF(Operations[[#This Row],[Calc List Price]]=0,0,IF(Operations[[#This Row],[Units per Hour]]*Operations[[#This Row],[Annual Use]]=0,0,(Operations[[#This Row],[Calc Beg Yr. Value]]-Operations[[#This Row],[Calc End Yr. Value]])/(Operations[[#This Row],[Annual Use]])))</f>
        <v>0</v>
      </c>
      <c r="S84" s="116">
        <f>IF(Operations[[#This Row],[Annual Use]]=0,0,Operations[[#This Row],[Calc Beg Yr. Value]]*'General Variables'!$B$9/Operations[[#This Row],[Annual Use]])</f>
        <v>0</v>
      </c>
      <c r="T84" s="116">
        <f>IF(Operations[[#This Row],[Annual Use]]=0,0,Operations[[#This Row],[Calc Beg Yr. Value]]*'General Variables'!$B$10/Operations[[#This Row],[Annual Use]])</f>
        <v>0</v>
      </c>
      <c r="U84" s="116">
        <f>SUM(Operations[[#This Row],[Depreciation per Unit]:[Opportunity Cost per Unit]])</f>
        <v>0</v>
      </c>
    </row>
    <row r="85" spans="1:21" ht="12.75" customHeight="1" x14ac:dyDescent="0.2">
      <c r="A85" s="152"/>
      <c r="B85" s="153"/>
      <c r="C85" s="154"/>
      <c r="D85" s="154"/>
      <c r="E85" s="138"/>
      <c r="F85" s="139"/>
      <c r="G85" s="138"/>
      <c r="H85" s="138"/>
      <c r="I85" s="140"/>
      <c r="J85" s="141"/>
      <c r="K85" s="154"/>
      <c r="L85" s="139"/>
      <c r="M85" s="142"/>
      <c r="N85" s="9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85" s="11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85" s="9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85" s="9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85" s="115">
        <f>IF(Operations[[#This Row],[Calc List Price]]=0,0,IF(Operations[[#This Row],[Units per Hour]]*Operations[[#This Row],[Annual Use]]=0,0,(Operations[[#This Row],[Calc Beg Yr. Value]]-Operations[[#This Row],[Calc End Yr. Value]])/(Operations[[#This Row],[Annual Use]])))</f>
        <v>0</v>
      </c>
      <c r="S85" s="116">
        <f>IF(Operations[[#This Row],[Annual Use]]=0,0,Operations[[#This Row],[Calc Beg Yr. Value]]*'General Variables'!$B$9/Operations[[#This Row],[Annual Use]])</f>
        <v>0</v>
      </c>
      <c r="T85" s="116">
        <f>IF(Operations[[#This Row],[Annual Use]]=0,0,Operations[[#This Row],[Calc Beg Yr. Value]]*'General Variables'!$B$10/Operations[[#This Row],[Annual Use]])</f>
        <v>0</v>
      </c>
      <c r="U85" s="116">
        <f>SUM(Operations[[#This Row],[Depreciation per Unit]:[Opportunity Cost per Unit]])</f>
        <v>0</v>
      </c>
    </row>
    <row r="86" spans="1:21" ht="12.75" customHeight="1" x14ac:dyDescent="0.2">
      <c r="A86" s="152"/>
      <c r="B86" s="153"/>
      <c r="C86" s="154"/>
      <c r="D86" s="154"/>
      <c r="E86" s="138"/>
      <c r="F86" s="139"/>
      <c r="G86" s="138"/>
      <c r="H86" s="138"/>
      <c r="I86" s="140"/>
      <c r="J86" s="141"/>
      <c r="K86" s="154"/>
      <c r="L86" s="139"/>
      <c r="M86" s="142"/>
      <c r="N86" s="9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86" s="11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86" s="9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86" s="9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86" s="115">
        <f>IF(Operations[[#This Row],[Calc List Price]]=0,0,IF(Operations[[#This Row],[Units per Hour]]*Operations[[#This Row],[Annual Use]]=0,0,(Operations[[#This Row],[Calc Beg Yr. Value]]-Operations[[#This Row],[Calc End Yr. Value]])/(Operations[[#This Row],[Annual Use]])))</f>
        <v>0</v>
      </c>
      <c r="S86" s="116">
        <f>IF(Operations[[#This Row],[Annual Use]]=0,0,Operations[[#This Row],[Calc Beg Yr. Value]]*'General Variables'!$B$9/Operations[[#This Row],[Annual Use]])</f>
        <v>0</v>
      </c>
      <c r="T86" s="116">
        <f>IF(Operations[[#This Row],[Annual Use]]=0,0,Operations[[#This Row],[Calc Beg Yr. Value]]*'General Variables'!$B$10/Operations[[#This Row],[Annual Use]])</f>
        <v>0</v>
      </c>
      <c r="U86" s="116">
        <f>SUM(Operations[[#This Row],[Depreciation per Unit]:[Opportunity Cost per Unit]])</f>
        <v>0</v>
      </c>
    </row>
    <row r="87" spans="1:21" ht="12.75" customHeight="1" x14ac:dyDescent="0.2">
      <c r="A87" s="152"/>
      <c r="B87" s="153"/>
      <c r="C87" s="154"/>
      <c r="D87" s="154"/>
      <c r="E87" s="138"/>
      <c r="F87" s="139"/>
      <c r="G87" s="138"/>
      <c r="H87" s="138"/>
      <c r="I87" s="140"/>
      <c r="J87" s="141"/>
      <c r="K87" s="154"/>
      <c r="L87" s="139"/>
      <c r="M87" s="142"/>
      <c r="N87" s="9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87" s="11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87" s="9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87" s="9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87" s="115">
        <f>IF(Operations[[#This Row],[Calc List Price]]=0,0,IF(Operations[[#This Row],[Units per Hour]]*Operations[[#This Row],[Annual Use]]=0,0,(Operations[[#This Row],[Calc Beg Yr. Value]]-Operations[[#This Row],[Calc End Yr. Value]])/(Operations[[#This Row],[Annual Use]])))</f>
        <v>0</v>
      </c>
      <c r="S87" s="116">
        <f>IF(Operations[[#This Row],[Annual Use]]=0,0,Operations[[#This Row],[Calc Beg Yr. Value]]*'General Variables'!$B$9/Operations[[#This Row],[Annual Use]])</f>
        <v>0</v>
      </c>
      <c r="T87" s="116">
        <f>IF(Operations[[#This Row],[Annual Use]]=0,0,Operations[[#This Row],[Calc Beg Yr. Value]]*'General Variables'!$B$10/Operations[[#This Row],[Annual Use]])</f>
        <v>0</v>
      </c>
      <c r="U87" s="116">
        <f>SUM(Operations[[#This Row],[Depreciation per Unit]:[Opportunity Cost per Unit]])</f>
        <v>0</v>
      </c>
    </row>
    <row r="88" spans="1:21" ht="12.75" customHeight="1" x14ac:dyDescent="0.2">
      <c r="A88" s="152"/>
      <c r="B88" s="153"/>
      <c r="C88" s="154"/>
      <c r="D88" s="154"/>
      <c r="E88" s="138"/>
      <c r="F88" s="139"/>
      <c r="G88" s="138"/>
      <c r="H88" s="138"/>
      <c r="I88" s="140"/>
      <c r="J88" s="141"/>
      <c r="K88" s="154"/>
      <c r="L88" s="139"/>
      <c r="M88" s="142"/>
      <c r="N88" s="9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88" s="11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88" s="9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88" s="9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88" s="115">
        <f>IF(Operations[[#This Row],[Calc List Price]]=0,0,IF(Operations[[#This Row],[Units per Hour]]*Operations[[#This Row],[Annual Use]]=0,0,(Operations[[#This Row],[Calc Beg Yr. Value]]-Operations[[#This Row],[Calc End Yr. Value]])/(Operations[[#This Row],[Annual Use]])))</f>
        <v>0</v>
      </c>
      <c r="S88" s="116">
        <f>IF(Operations[[#This Row],[Annual Use]]=0,0,Operations[[#This Row],[Calc Beg Yr. Value]]*'General Variables'!$B$9/Operations[[#This Row],[Annual Use]])</f>
        <v>0</v>
      </c>
      <c r="T88" s="116">
        <f>IF(Operations[[#This Row],[Annual Use]]=0,0,Operations[[#This Row],[Calc Beg Yr. Value]]*'General Variables'!$B$10/Operations[[#This Row],[Annual Use]])</f>
        <v>0</v>
      </c>
      <c r="U88" s="116">
        <f>SUM(Operations[[#This Row],[Depreciation per Unit]:[Opportunity Cost per Unit]])</f>
        <v>0</v>
      </c>
    </row>
    <row r="89" spans="1:21" ht="12.75" customHeight="1" x14ac:dyDescent="0.2">
      <c r="A89" s="152"/>
      <c r="B89" s="153"/>
      <c r="C89" s="154"/>
      <c r="D89" s="154"/>
      <c r="E89" s="138"/>
      <c r="F89" s="139"/>
      <c r="G89" s="138"/>
      <c r="H89" s="138"/>
      <c r="I89" s="140"/>
      <c r="J89" s="141"/>
      <c r="K89" s="154"/>
      <c r="L89" s="139"/>
      <c r="M89" s="142"/>
      <c r="N89" s="9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89" s="11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89" s="9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89" s="9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89" s="115">
        <f>IF(Operations[[#This Row],[Calc List Price]]=0,0,IF(Operations[[#This Row],[Units per Hour]]*Operations[[#This Row],[Annual Use]]=0,0,(Operations[[#This Row],[Calc Beg Yr. Value]]-Operations[[#This Row],[Calc End Yr. Value]])/(Operations[[#This Row],[Annual Use]])))</f>
        <v>0</v>
      </c>
      <c r="S89" s="116">
        <f>IF(Operations[[#This Row],[Annual Use]]=0,0,Operations[[#This Row],[Calc Beg Yr. Value]]*'General Variables'!$B$9/Operations[[#This Row],[Annual Use]])</f>
        <v>0</v>
      </c>
      <c r="T89" s="116">
        <f>IF(Operations[[#This Row],[Annual Use]]=0,0,Operations[[#This Row],[Calc Beg Yr. Value]]*'General Variables'!$B$10/Operations[[#This Row],[Annual Use]])</f>
        <v>0</v>
      </c>
      <c r="U89" s="116">
        <f>SUM(Operations[[#This Row],[Depreciation per Unit]:[Opportunity Cost per Unit]])</f>
        <v>0</v>
      </c>
    </row>
    <row r="90" spans="1:21" ht="12.75" customHeight="1" x14ac:dyDescent="0.2">
      <c r="A90" s="152"/>
      <c r="B90" s="153"/>
      <c r="C90" s="154"/>
      <c r="D90" s="154"/>
      <c r="E90" s="138"/>
      <c r="F90" s="139"/>
      <c r="G90" s="138"/>
      <c r="H90" s="138"/>
      <c r="I90" s="140"/>
      <c r="J90" s="141"/>
      <c r="K90" s="154"/>
      <c r="L90" s="139"/>
      <c r="M90" s="142"/>
      <c r="N90" s="9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90" s="11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90" s="9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90" s="9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90" s="115">
        <f>IF(Operations[[#This Row],[Calc List Price]]=0,0,IF(Operations[[#This Row],[Units per Hour]]*Operations[[#This Row],[Annual Use]]=0,0,(Operations[[#This Row],[Calc Beg Yr. Value]]-Operations[[#This Row],[Calc End Yr. Value]])/(Operations[[#This Row],[Annual Use]])))</f>
        <v>0</v>
      </c>
      <c r="S90" s="116">
        <f>IF(Operations[[#This Row],[Annual Use]]=0,0,Operations[[#This Row],[Calc Beg Yr. Value]]*'General Variables'!$B$9/Operations[[#This Row],[Annual Use]])</f>
        <v>0</v>
      </c>
      <c r="T90" s="116">
        <f>IF(Operations[[#This Row],[Annual Use]]=0,0,Operations[[#This Row],[Calc Beg Yr. Value]]*'General Variables'!$B$10/Operations[[#This Row],[Annual Use]])</f>
        <v>0</v>
      </c>
      <c r="U90" s="116">
        <f>SUM(Operations[[#This Row],[Depreciation per Unit]:[Opportunity Cost per Unit]])</f>
        <v>0</v>
      </c>
    </row>
    <row r="91" spans="1:21" ht="12.75" customHeight="1" x14ac:dyDescent="0.2">
      <c r="A91" s="152"/>
      <c r="B91" s="153"/>
      <c r="C91" s="154"/>
      <c r="D91" s="154"/>
      <c r="E91" s="138"/>
      <c r="F91" s="139"/>
      <c r="G91" s="138"/>
      <c r="H91" s="138"/>
      <c r="I91" s="140"/>
      <c r="J91" s="141"/>
      <c r="K91" s="154"/>
      <c r="L91" s="139"/>
      <c r="M91" s="142"/>
      <c r="N91" s="9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91" s="11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91" s="9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91" s="9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91" s="115">
        <f>IF(Operations[[#This Row],[Calc List Price]]=0,0,IF(Operations[[#This Row],[Units per Hour]]*Operations[[#This Row],[Annual Use]]=0,0,(Operations[[#This Row],[Calc Beg Yr. Value]]-Operations[[#This Row],[Calc End Yr. Value]])/(Operations[[#This Row],[Annual Use]])))</f>
        <v>0</v>
      </c>
      <c r="S91" s="116">
        <f>IF(Operations[[#This Row],[Annual Use]]=0,0,Operations[[#This Row],[Calc Beg Yr. Value]]*'General Variables'!$B$9/Operations[[#This Row],[Annual Use]])</f>
        <v>0</v>
      </c>
      <c r="T91" s="116">
        <f>IF(Operations[[#This Row],[Annual Use]]=0,0,Operations[[#This Row],[Calc Beg Yr. Value]]*'General Variables'!$B$10/Operations[[#This Row],[Annual Use]])</f>
        <v>0</v>
      </c>
      <c r="U91" s="116">
        <f>SUM(Operations[[#This Row],[Depreciation per Unit]:[Opportunity Cost per Unit]])</f>
        <v>0</v>
      </c>
    </row>
    <row r="92" spans="1:21" ht="12.75" customHeight="1" x14ac:dyDescent="0.2">
      <c r="A92" s="152"/>
      <c r="B92" s="153"/>
      <c r="C92" s="154"/>
      <c r="D92" s="154"/>
      <c r="E92" s="138"/>
      <c r="F92" s="139"/>
      <c r="G92" s="138"/>
      <c r="H92" s="138"/>
      <c r="I92" s="140"/>
      <c r="J92" s="141"/>
      <c r="K92" s="154"/>
      <c r="L92" s="139"/>
      <c r="M92" s="142"/>
      <c r="N92" s="9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92" s="11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92" s="9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92" s="9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92" s="115">
        <f>IF(Operations[[#This Row],[Calc List Price]]=0,0,IF(Operations[[#This Row],[Units per Hour]]*Operations[[#This Row],[Annual Use]]=0,0,(Operations[[#This Row],[Calc Beg Yr. Value]]-Operations[[#This Row],[Calc End Yr. Value]])/(Operations[[#This Row],[Annual Use]])))</f>
        <v>0</v>
      </c>
      <c r="S92" s="116">
        <f>IF(Operations[[#This Row],[Annual Use]]=0,0,Operations[[#This Row],[Calc Beg Yr. Value]]*'General Variables'!$B$9/Operations[[#This Row],[Annual Use]])</f>
        <v>0</v>
      </c>
      <c r="T92" s="116">
        <f>IF(Operations[[#This Row],[Annual Use]]=0,0,Operations[[#This Row],[Calc Beg Yr. Value]]*'General Variables'!$B$10/Operations[[#This Row],[Annual Use]])</f>
        <v>0</v>
      </c>
      <c r="U92" s="116">
        <f>SUM(Operations[[#This Row],[Depreciation per Unit]:[Opportunity Cost per Unit]])</f>
        <v>0</v>
      </c>
    </row>
    <row r="93" spans="1:21" ht="12.75" customHeight="1" x14ac:dyDescent="0.2">
      <c r="A93" s="152"/>
      <c r="B93" s="153"/>
      <c r="C93" s="154"/>
      <c r="D93" s="154"/>
      <c r="E93" s="138"/>
      <c r="F93" s="139"/>
      <c r="G93" s="138"/>
      <c r="H93" s="138"/>
      <c r="I93" s="140"/>
      <c r="J93" s="141"/>
      <c r="K93" s="154"/>
      <c r="L93" s="139"/>
      <c r="M93" s="142"/>
      <c r="N93" s="9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93" s="11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93" s="9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93" s="9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93" s="115">
        <f>IF(Operations[[#This Row],[Calc List Price]]=0,0,IF(Operations[[#This Row],[Units per Hour]]*Operations[[#This Row],[Annual Use]]=0,0,(Operations[[#This Row],[Calc Beg Yr. Value]]-Operations[[#This Row],[Calc End Yr. Value]])/(Operations[[#This Row],[Annual Use]])))</f>
        <v>0</v>
      </c>
      <c r="S93" s="116">
        <f>IF(Operations[[#This Row],[Annual Use]]=0,0,Operations[[#This Row],[Calc Beg Yr. Value]]*'General Variables'!$B$9/Operations[[#This Row],[Annual Use]])</f>
        <v>0</v>
      </c>
      <c r="T93" s="116">
        <f>IF(Operations[[#This Row],[Annual Use]]=0,0,Operations[[#This Row],[Calc Beg Yr. Value]]*'General Variables'!$B$10/Operations[[#This Row],[Annual Use]])</f>
        <v>0</v>
      </c>
      <c r="U93" s="116">
        <f>SUM(Operations[[#This Row],[Depreciation per Unit]:[Opportunity Cost per Unit]])</f>
        <v>0</v>
      </c>
    </row>
    <row r="94" spans="1:21" ht="12.75" customHeight="1" x14ac:dyDescent="0.2">
      <c r="A94" s="152"/>
      <c r="B94" s="153"/>
      <c r="C94" s="154"/>
      <c r="D94" s="154"/>
      <c r="E94" s="138"/>
      <c r="F94" s="139"/>
      <c r="G94" s="138"/>
      <c r="H94" s="138"/>
      <c r="I94" s="140"/>
      <c r="J94" s="141"/>
      <c r="K94" s="154"/>
      <c r="L94" s="139"/>
      <c r="M94" s="142"/>
      <c r="N94" s="9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94" s="11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94" s="9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94" s="9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94" s="115">
        <f>IF(Operations[[#This Row],[Calc List Price]]=0,0,IF(Operations[[#This Row],[Units per Hour]]*Operations[[#This Row],[Annual Use]]=0,0,(Operations[[#This Row],[Calc Beg Yr. Value]]-Operations[[#This Row],[Calc End Yr. Value]])/(Operations[[#This Row],[Annual Use]])))</f>
        <v>0</v>
      </c>
      <c r="S94" s="116">
        <f>IF(Operations[[#This Row],[Annual Use]]=0,0,Operations[[#This Row],[Calc Beg Yr. Value]]*'General Variables'!$B$9/Operations[[#This Row],[Annual Use]])</f>
        <v>0</v>
      </c>
      <c r="T94" s="116">
        <f>IF(Operations[[#This Row],[Annual Use]]=0,0,Operations[[#This Row],[Calc Beg Yr. Value]]*'General Variables'!$B$10/Operations[[#This Row],[Annual Use]])</f>
        <v>0</v>
      </c>
      <c r="U94" s="116">
        <f>SUM(Operations[[#This Row],[Depreciation per Unit]:[Opportunity Cost per Unit]])</f>
        <v>0</v>
      </c>
    </row>
    <row r="95" spans="1:21" ht="12.75" customHeight="1" x14ac:dyDescent="0.2">
      <c r="A95" s="152"/>
      <c r="B95" s="153"/>
      <c r="C95" s="154"/>
      <c r="D95" s="154"/>
      <c r="E95" s="138"/>
      <c r="F95" s="139"/>
      <c r="G95" s="138"/>
      <c r="H95" s="138"/>
      <c r="I95" s="140"/>
      <c r="J95" s="141"/>
      <c r="K95" s="154"/>
      <c r="L95" s="139"/>
      <c r="M95" s="142"/>
      <c r="N95" s="9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95" s="11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95" s="9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95" s="9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95" s="115">
        <f>IF(Operations[[#This Row],[Calc List Price]]=0,0,IF(Operations[[#This Row],[Units per Hour]]*Operations[[#This Row],[Annual Use]]=0,0,(Operations[[#This Row],[Calc Beg Yr. Value]]-Operations[[#This Row],[Calc End Yr. Value]])/(Operations[[#This Row],[Annual Use]])))</f>
        <v>0</v>
      </c>
      <c r="S95" s="116">
        <f>IF(Operations[[#This Row],[Annual Use]]=0,0,Operations[[#This Row],[Calc Beg Yr. Value]]*'General Variables'!$B$9/Operations[[#This Row],[Annual Use]])</f>
        <v>0</v>
      </c>
      <c r="T95" s="116">
        <f>IF(Operations[[#This Row],[Annual Use]]=0,0,Operations[[#This Row],[Calc Beg Yr. Value]]*'General Variables'!$B$10/Operations[[#This Row],[Annual Use]])</f>
        <v>0</v>
      </c>
      <c r="U95" s="116">
        <f>SUM(Operations[[#This Row],[Depreciation per Unit]:[Opportunity Cost per Unit]])</f>
        <v>0</v>
      </c>
    </row>
    <row r="96" spans="1:21" ht="12.75" customHeight="1" x14ac:dyDescent="0.2">
      <c r="A96" s="152"/>
      <c r="B96" s="153"/>
      <c r="C96" s="154"/>
      <c r="D96" s="154"/>
      <c r="E96" s="138"/>
      <c r="F96" s="139"/>
      <c r="G96" s="138"/>
      <c r="H96" s="138"/>
      <c r="I96" s="140"/>
      <c r="J96" s="141"/>
      <c r="K96" s="154"/>
      <c r="L96" s="139"/>
      <c r="M96" s="155"/>
      <c r="N96" s="9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96" s="11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96" s="9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96" s="9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96" s="115">
        <f>IF(Operations[[#This Row],[Calc List Price]]=0,0,IF(Operations[[#This Row],[Units per Hour]]*Operations[[#This Row],[Annual Use]]=0,0,(Operations[[#This Row],[Calc Beg Yr. Value]]-Operations[[#This Row],[Calc End Yr. Value]])/(Operations[[#This Row],[Annual Use]])))</f>
        <v>0</v>
      </c>
      <c r="S96" s="116">
        <f>IF(Operations[[#This Row],[Annual Use]]=0,0,Operations[[#This Row],[Calc Beg Yr. Value]]*'General Variables'!$B$9/Operations[[#This Row],[Annual Use]])</f>
        <v>0</v>
      </c>
      <c r="T96" s="116">
        <f>IF(Operations[[#This Row],[Annual Use]]=0,0,Operations[[#This Row],[Calc Beg Yr. Value]]*'General Variables'!$B$10/Operations[[#This Row],[Annual Use]])</f>
        <v>0</v>
      </c>
      <c r="U96" s="116">
        <f>SUM(Operations[[#This Row],[Depreciation per Unit]:[Opportunity Cost per Unit]])</f>
        <v>0</v>
      </c>
    </row>
    <row r="97" spans="1:21" ht="12.75" customHeight="1" x14ac:dyDescent="0.2">
      <c r="A97" s="152"/>
      <c r="B97" s="153"/>
      <c r="C97" s="154"/>
      <c r="D97" s="154"/>
      <c r="E97" s="138"/>
      <c r="F97" s="139"/>
      <c r="G97" s="138"/>
      <c r="H97" s="138"/>
      <c r="I97" s="140"/>
      <c r="J97" s="141"/>
      <c r="K97" s="154"/>
      <c r="L97" s="139"/>
      <c r="M97" s="155"/>
      <c r="N97" s="9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97" s="11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97" s="9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97" s="9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97" s="115">
        <f>IF(Operations[[#This Row],[Calc List Price]]=0,0,IF(Operations[[#This Row],[Units per Hour]]*Operations[[#This Row],[Annual Use]]=0,0,(Operations[[#This Row],[Calc Beg Yr. Value]]-Operations[[#This Row],[Calc End Yr. Value]])/(Operations[[#This Row],[Annual Use]])))</f>
        <v>0</v>
      </c>
      <c r="S97" s="116">
        <f>IF(Operations[[#This Row],[Annual Use]]=0,0,Operations[[#This Row],[Calc Beg Yr. Value]]*'General Variables'!$B$9/Operations[[#This Row],[Annual Use]])</f>
        <v>0</v>
      </c>
      <c r="T97" s="116">
        <f>IF(Operations[[#This Row],[Annual Use]]=0,0,Operations[[#This Row],[Calc Beg Yr. Value]]*'General Variables'!$B$10/Operations[[#This Row],[Annual Use]])</f>
        <v>0</v>
      </c>
      <c r="U97" s="116">
        <f>SUM(Operations[[#This Row],[Depreciation per Unit]:[Opportunity Cost per Unit]])</f>
        <v>0</v>
      </c>
    </row>
    <row r="98" spans="1:21" ht="12.75" customHeight="1" x14ac:dyDescent="0.2">
      <c r="A98" s="135"/>
      <c r="B98" s="136"/>
      <c r="C98" s="137"/>
      <c r="D98" s="137"/>
      <c r="E98" s="137"/>
      <c r="F98" s="156"/>
      <c r="G98" s="137"/>
      <c r="H98" s="137"/>
      <c r="I98" s="157"/>
      <c r="J98" s="157"/>
      <c r="K98" s="137"/>
      <c r="L98" s="157"/>
      <c r="M98" s="155"/>
      <c r="N98" s="12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98" s="129">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98" s="12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98" s="12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98" s="130">
        <f>IF(Operations[[#This Row],[Calc List Price]]=0,0,IF(Operations[[#This Row],[Units per Hour]]*Operations[[#This Row],[Annual Use]]=0,0,(Operations[[#This Row],[Calc Beg Yr. Value]]-Operations[[#This Row],[Calc End Yr. Value]])/(Operations[[#This Row],[Annual Use]])))</f>
        <v>0</v>
      </c>
      <c r="S98" s="131">
        <f>IF(Operations[[#This Row],[Annual Use]]=0,0,Operations[[#This Row],[Calc Beg Yr. Value]]*'General Variables'!$B$9/Operations[[#This Row],[Annual Use]])</f>
        <v>0</v>
      </c>
      <c r="T98" s="131">
        <f>IF(Operations[[#This Row],[Annual Use]]=0,0,Operations[[#This Row],[Calc Beg Yr. Value]]*'General Variables'!$B$10/Operations[[#This Row],[Annual Use]])</f>
        <v>0</v>
      </c>
      <c r="U98" s="132">
        <f>SUM(Operations[[#This Row],[Depreciation per Unit]:[Opportunity Cost per Unit]])</f>
        <v>0</v>
      </c>
    </row>
    <row r="99" spans="1:21" ht="12.75" customHeight="1" x14ac:dyDescent="0.2">
      <c r="A99" s="135"/>
      <c r="B99" s="136"/>
      <c r="C99" s="137"/>
      <c r="D99" s="137"/>
      <c r="E99" s="137"/>
      <c r="F99" s="156"/>
      <c r="G99" s="137"/>
      <c r="H99" s="137"/>
      <c r="I99" s="157"/>
      <c r="J99" s="157"/>
      <c r="K99" s="137"/>
      <c r="L99" s="157"/>
      <c r="M99" s="155"/>
      <c r="N99" s="12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99" s="129">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99" s="12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99" s="12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99" s="130">
        <f>IF(Operations[[#This Row],[Calc List Price]]=0,0,IF(Operations[[#This Row],[Units per Hour]]*Operations[[#This Row],[Annual Use]]=0,0,(Operations[[#This Row],[Calc Beg Yr. Value]]-Operations[[#This Row],[Calc End Yr. Value]])/(Operations[[#This Row],[Annual Use]])))</f>
        <v>0</v>
      </c>
      <c r="S99" s="131">
        <f>IF(Operations[[#This Row],[Annual Use]]=0,0,Operations[[#This Row],[Calc Beg Yr. Value]]*'General Variables'!$B$9/Operations[[#This Row],[Annual Use]])</f>
        <v>0</v>
      </c>
      <c r="T99" s="131">
        <f>IF(Operations[[#This Row],[Annual Use]]=0,0,Operations[[#This Row],[Calc Beg Yr. Value]]*'General Variables'!$B$10/Operations[[#This Row],[Annual Use]])</f>
        <v>0</v>
      </c>
      <c r="U99" s="132">
        <f>SUM(Operations[[#This Row],[Depreciation per Unit]:[Opportunity Cost per Unit]])</f>
        <v>0</v>
      </c>
    </row>
    <row r="100" spans="1:21" ht="12.75" customHeight="1" x14ac:dyDescent="0.2">
      <c r="A100" s="152"/>
      <c r="B100" s="153"/>
      <c r="C100" s="154"/>
      <c r="D100" s="154"/>
      <c r="E100" s="138"/>
      <c r="F100" s="139"/>
      <c r="G100" s="138"/>
      <c r="H100" s="138"/>
      <c r="I100" s="140"/>
      <c r="J100" s="141"/>
      <c r="K100" s="154"/>
      <c r="L100" s="139"/>
      <c r="M100" s="155"/>
      <c r="N100" s="9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100" s="11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100" s="9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100" s="9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100" s="115">
        <f>IF(Operations[[#This Row],[Calc List Price]]=0,0,IF(Operations[[#This Row],[Units per Hour]]*Operations[[#This Row],[Annual Use]]=0,0,(Operations[[#This Row],[Calc Beg Yr. Value]]-Operations[[#This Row],[Calc End Yr. Value]])/(Operations[[#This Row],[Annual Use]])))</f>
        <v>0</v>
      </c>
      <c r="S100" s="116">
        <f>IF(Operations[[#This Row],[Annual Use]]=0,0,Operations[[#This Row],[Calc Beg Yr. Value]]*'General Variables'!$B$9/Operations[[#This Row],[Annual Use]])</f>
        <v>0</v>
      </c>
      <c r="T100" s="116">
        <f>IF(Operations[[#This Row],[Annual Use]]=0,0,Operations[[#This Row],[Calc Beg Yr. Value]]*'General Variables'!$B$10/Operations[[#This Row],[Annual Use]])</f>
        <v>0</v>
      </c>
      <c r="U100" s="116">
        <f>SUM(Operations[[#This Row],[Depreciation per Unit]:[Opportunity Cost per Unit]])</f>
        <v>0</v>
      </c>
    </row>
    <row r="101" spans="1:21" ht="12.75" customHeight="1" x14ac:dyDescent="0.2">
      <c r="A101" s="152"/>
      <c r="B101" s="153"/>
      <c r="C101" s="154"/>
      <c r="D101" s="154"/>
      <c r="E101" s="154"/>
      <c r="F101" s="139"/>
      <c r="G101" s="138"/>
      <c r="H101" s="154"/>
      <c r="I101" s="141"/>
      <c r="J101" s="141"/>
      <c r="K101" s="154"/>
      <c r="L101" s="139"/>
      <c r="M101" s="155"/>
      <c r="N101" s="9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101" s="11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101" s="9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101" s="9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101" s="115">
        <f>IF(Operations[[#This Row],[Calc List Price]]=0,0,IF(Operations[[#This Row],[Units per Hour]]*Operations[[#This Row],[Annual Use]]=0,0,(Operations[[#This Row],[Calc Beg Yr. Value]]-Operations[[#This Row],[Calc End Yr. Value]])/(Operations[[#This Row],[Annual Use]])))</f>
        <v>0</v>
      </c>
      <c r="S101" s="116">
        <f>IF(Operations[[#This Row],[Annual Use]]=0,0,Operations[[#This Row],[Calc Beg Yr. Value]]*'General Variables'!$B$9/Operations[[#This Row],[Annual Use]])</f>
        <v>0</v>
      </c>
      <c r="T101" s="116">
        <f>IF(Operations[[#This Row],[Annual Use]]=0,0,Operations[[#This Row],[Calc Beg Yr. Value]]*'General Variables'!$B$10/Operations[[#This Row],[Annual Use]])</f>
        <v>0</v>
      </c>
      <c r="U101" s="116">
        <f>SUM(Operations[[#This Row],[Depreciation per Unit]:[Opportunity Cost per Unit]])</f>
        <v>0</v>
      </c>
    </row>
    <row r="102" spans="1:21" x14ac:dyDescent="0.2">
      <c r="B102" s="117"/>
      <c r="C102" s="117"/>
      <c r="D102" s="117"/>
    </row>
  </sheetData>
  <mergeCells count="2">
    <mergeCell ref="AK1:AM2"/>
    <mergeCell ref="AK16:AM19"/>
  </mergeCells>
  <dataValidations count="3">
    <dataValidation type="list" allowBlank="1" showInputMessage="1" showErrorMessage="1" sqref="K2:K101">
      <formula1>$AO$2:$AO$11</formula1>
    </dataValidation>
    <dataValidation type="list" allowBlank="1" showInputMessage="1" showErrorMessage="1" sqref="C2:C102">
      <formula1>$W$2:$W$48</formula1>
    </dataValidation>
    <dataValidation type="list" allowBlank="1" showInputMessage="1" showErrorMessage="1" sqref="D2:D102">
      <formula1>$AE$2:$AE$11</formula1>
    </dataValidation>
  </dataValidations>
  <pageMargins left="0.7" right="0.7" top="0.75" bottom="0.75" header="0.3" footer="0.3"/>
  <pageSetup scale="74" orientation="landscape" r:id="rId1"/>
  <legacyDrawing r:id="rId2"/>
  <tableParts count="4">
    <tablePart r:id="rId3"/>
    <tablePart r:id="rId4"/>
    <tablePart r:id="rId5"/>
    <tablePart r:id="rId6"/>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9">
    <pageSetUpPr fitToPage="1"/>
  </sheetPr>
  <dimension ref="A2:O226"/>
  <sheetViews>
    <sheetView workbookViewId="0"/>
  </sheetViews>
  <sheetFormatPr defaultRowHeight="12.75" x14ac:dyDescent="0.2"/>
  <cols>
    <col min="1" max="1" width="5.140625" style="217" customWidth="1"/>
    <col min="2" max="2" width="27.28515625" style="217" customWidth="1"/>
    <col min="3" max="3" width="7.28515625" style="217" customWidth="1"/>
    <col min="4" max="4" width="4.7109375" style="217" customWidth="1"/>
    <col min="5" max="5" width="9.140625" style="217"/>
    <col min="6" max="6" width="11.140625" style="217" customWidth="1"/>
    <col min="7" max="7" width="8" style="217" customWidth="1"/>
    <col min="8" max="8" width="7.7109375" style="217" customWidth="1"/>
    <col min="9" max="9" width="9.140625" style="217" customWidth="1"/>
    <col min="10" max="10" width="9.140625" style="217"/>
    <col min="11" max="11" width="8.7109375" style="217" customWidth="1"/>
    <col min="12" max="16384" width="9.140625" style="217"/>
  </cols>
  <sheetData>
    <row r="2" spans="1:15" ht="14.25" hidden="1" customHeight="1" x14ac:dyDescent="0.2">
      <c r="A2" s="266" t="s">
        <v>437</v>
      </c>
      <c r="B2" s="265"/>
      <c r="C2" s="264"/>
      <c r="D2" s="264"/>
      <c r="E2" s="265"/>
      <c r="F2" s="264"/>
      <c r="G2" s="264"/>
      <c r="H2" s="267" t="s">
        <v>85</v>
      </c>
      <c r="I2" s="265"/>
      <c r="J2" s="260"/>
      <c r="K2" s="261" t="str">
        <f>'General Variables'!A3&amp;" "&amp;'General Variables'!B3</f>
        <v>Year 2015</v>
      </c>
      <c r="O2" s="226" t="s">
        <v>460</v>
      </c>
    </row>
    <row r="3" spans="1:15" hidden="1" x14ac:dyDescent="0.2">
      <c r="A3" s="266" t="s">
        <v>78</v>
      </c>
      <c r="B3" s="265"/>
      <c r="C3" s="264"/>
      <c r="D3" s="264"/>
      <c r="E3" s="265"/>
      <c r="F3" s="264"/>
      <c r="G3" s="264"/>
      <c r="H3" s="268" t="s">
        <v>86</v>
      </c>
      <c r="I3" s="272" t="str">
        <f>IF(H3="","","acre-inches")</f>
        <v>acre-inches</v>
      </c>
      <c r="J3" s="260"/>
      <c r="K3" s="260"/>
      <c r="O3" s="226" t="s">
        <v>459</v>
      </c>
    </row>
    <row r="4" spans="1:15" hidden="1" x14ac:dyDescent="0.2">
      <c r="A4" s="266" t="s">
        <v>79</v>
      </c>
      <c r="B4" s="266" t="s">
        <v>77</v>
      </c>
      <c r="C4" s="264"/>
      <c r="D4" s="264"/>
      <c r="E4" s="265"/>
      <c r="F4" s="265"/>
      <c r="G4" s="265"/>
      <c r="H4" s="265"/>
      <c r="I4" s="265"/>
      <c r="J4" s="260"/>
      <c r="K4" s="260"/>
      <c r="O4" s="226" t="str">
        <f>B4</f>
        <v>Unit</v>
      </c>
    </row>
    <row r="5" spans="1:15" s="235" customFormat="1" ht="30" customHeight="1" x14ac:dyDescent="0.25">
      <c r="A5" s="318" t="str">
        <f>'General Variables'!B3 &amp; " " &amp; A2 &amp; ", " &amp; A3 &amp; IF(A4=""," ", " (") &amp; A4 &amp; " " &amp; B4 &amp; IF(A4="",""," Actual Yield)")</f>
        <v>2015 Budget . Master, System (Yield Unit Actual Yield)</v>
      </c>
      <c r="B5" s="318"/>
      <c r="C5" s="318"/>
      <c r="D5" s="318"/>
      <c r="E5" s="318"/>
      <c r="F5" s="318"/>
      <c r="G5" s="318"/>
      <c r="H5" s="318"/>
      <c r="I5" s="318"/>
      <c r="J5" s="318"/>
      <c r="K5" s="318"/>
      <c r="L5" s="318"/>
      <c r="O5" s="252"/>
    </row>
    <row r="6" spans="1:15" s="235" customFormat="1" ht="15.75" x14ac:dyDescent="0.25">
      <c r="A6" s="255" t="str">
        <f>IF(H2="Dryland","Dryland",H2 &amp; ", " &amp; H3 &amp; " " &amp;I3)</f>
        <v>Water Source, Water Applied acre-inches</v>
      </c>
      <c r="B6" s="254"/>
      <c r="C6" s="263"/>
      <c r="D6" s="263"/>
      <c r="E6" s="253"/>
      <c r="F6" s="253"/>
      <c r="G6" s="253"/>
      <c r="H6" s="253"/>
      <c r="I6" s="253"/>
      <c r="J6" s="46" t="s">
        <v>570</v>
      </c>
      <c r="K6" s="290"/>
      <c r="O6" s="252"/>
    </row>
    <row r="8" spans="1:15" s="260" customFormat="1" ht="22.5" customHeight="1" x14ac:dyDescent="0.2">
      <c r="B8" s="319" t="s">
        <v>80</v>
      </c>
      <c r="C8" s="317" t="s">
        <v>1</v>
      </c>
      <c r="D8" s="291"/>
      <c r="E8" s="317" t="str">
        <f>"Labor @ $" &amp;TEXT('General Variables'!B4,"#.00")&amp; " /Hr"</f>
        <v>Labor @ $20.00 /Hr</v>
      </c>
      <c r="F8" s="317" t="str">
        <f>"Fuel @ $" &amp; TEXT('General Variables'!B5,"#.00") &amp; " and Lube"</f>
        <v>Fuel @ $3.25 and Lube</v>
      </c>
      <c r="G8" s="321" t="s">
        <v>81</v>
      </c>
      <c r="H8" s="321"/>
      <c r="I8" s="321" t="s">
        <v>382</v>
      </c>
      <c r="J8" s="321"/>
      <c r="K8" s="321" t="s">
        <v>2</v>
      </c>
      <c r="L8" s="317" t="s">
        <v>402</v>
      </c>
    </row>
    <row r="9" spans="1:15" s="260" customFormat="1" ht="17.25" customHeight="1" thickBot="1" x14ac:dyDescent="0.25">
      <c r="B9" s="320"/>
      <c r="C9" s="316"/>
      <c r="D9" s="292" t="s">
        <v>77</v>
      </c>
      <c r="E9" s="316"/>
      <c r="F9" s="316"/>
      <c r="G9" s="293" t="s">
        <v>82</v>
      </c>
      <c r="H9" s="293" t="s">
        <v>84</v>
      </c>
      <c r="I9" s="293" t="s">
        <v>82</v>
      </c>
      <c r="J9" s="293" t="s">
        <v>84</v>
      </c>
      <c r="K9" s="322"/>
      <c r="L9" s="316"/>
    </row>
    <row r="10" spans="1:15" ht="13.5" thickTop="1" x14ac:dyDescent="0.2">
      <c r="A10" s="294">
        <v>1</v>
      </c>
      <c r="B10" s="273"/>
      <c r="C10" s="269">
        <v>1</v>
      </c>
      <c r="D10" s="275"/>
      <c r="E10" s="227" t="str">
        <f>IF(B10=0,"",IF(C10&gt;9999,"",ROUND('General Variables'!$B$4*VLOOKUP(B10,Operations[],10,FALSE)/VLOOKUP(B10,Operations[],9,FALSE)*C10,2)))</f>
        <v/>
      </c>
      <c r="F10" s="227">
        <f>IF(B10=0,0,IF(C10&gt;9999,"",ROUND(IF(VLOOKUP(B10,Operations[],12,FALSE)=0,VLOOKUP(B10,Operations[],13,FALSE)*'General Variables'!$B$8,VLOOKUP(B10,Operations[],12,FALSE)*'General Variables'!$B$7)/VLOOKUP(B10,Operations[],9,FALSE)*C10,2)))</f>
        <v>0</v>
      </c>
      <c r="G10" s="227">
        <f>IF(B10=0,0,IF(C10&gt;9999,"",ROUND(VLOOKUP(VLOOKUP(B10,Operations[],11,FALSE),PowerUnits[],10,FALSE)/VLOOKUP(B10,Operations[],9,FALSE)*C10,2)))</f>
        <v>0</v>
      </c>
      <c r="H10" s="227" t="str">
        <f>IF(B10=0,"",IF(C10&gt;9999,"",ROUND(VLOOKUP($B10,Operations[],15,FALSE)*C10,2)))</f>
        <v/>
      </c>
      <c r="I10" s="227">
        <f>IF(B10=0,0,IF(C10&gt;9999,"",ROUND(VLOOKUP(VLOOKUP(B10,Operations[],11,FALSE),PowerUnits[],16,FALSE)/VLOOKUP(B10,Operations[],9,FALSE)*C10,2)))</f>
        <v>0</v>
      </c>
      <c r="J10" s="227" t="str">
        <f>IF(B10=0,"",IF(C10&gt;9999,"",ROUND(VLOOKUP($B10,Operations[],21,FALSE)*$C10,2)))</f>
        <v/>
      </c>
      <c r="K10" s="227">
        <f>IF(C10&gt;9999,"",ROUND(SUM(E10:J10),2))</f>
        <v>0</v>
      </c>
      <c r="L10" s="229"/>
    </row>
    <row r="11" spans="1:15" x14ac:dyDescent="0.2">
      <c r="A11" s="294">
        <v>2</v>
      </c>
      <c r="B11" s="273"/>
      <c r="C11" s="269">
        <v>1</v>
      </c>
      <c r="D11" s="275"/>
      <c r="E11" s="227" t="str">
        <f>IF(B11=0,"",IF(C11&gt;9999,"",ROUND('General Variables'!$B$4*VLOOKUP(B11,Operations[],10,FALSE)/VLOOKUP(B11,Operations[],9,FALSE)*C11,2)))</f>
        <v/>
      </c>
      <c r="F11" s="227">
        <f>IF(B11=0,0,IF(C11&gt;9999,"",ROUND(IF(VLOOKUP(B11,Operations[],12,FALSE)=0,VLOOKUP(B11,Operations[],13,FALSE)*'General Variables'!$B$8,VLOOKUP(B11,Operations[],12,FALSE)*'General Variables'!$B$7)/VLOOKUP(B11,Operations[],9,FALSE)*C11,2)))</f>
        <v>0</v>
      </c>
      <c r="G11" s="227">
        <f>IF(B11=0,0,IF(C11&gt;9999,"",ROUND(VLOOKUP(VLOOKUP(B11,Operations[],11,FALSE),PowerUnits[],10,FALSE)/VLOOKUP(B11,Operations[],9,FALSE)*C11,2)))</f>
        <v>0</v>
      </c>
      <c r="H11" s="227" t="str">
        <f>IF(B11=0,"",IF(C11&gt;9999,"",ROUND(VLOOKUP($B11,Operations[],15,FALSE)*C11,2)))</f>
        <v/>
      </c>
      <c r="I11" s="227">
        <f>IF(B11=0,0,IF(C11&gt;9999,"",ROUND(VLOOKUP(VLOOKUP(B11,Operations[],11,FALSE),PowerUnits[],16,FALSE)/VLOOKUP(B11,Operations[],9,FALSE)*C11,2)))</f>
        <v>0</v>
      </c>
      <c r="J11" s="227" t="str">
        <f>IF(B11=0,"",IF(C11&gt;9999,"",ROUND(VLOOKUP($B11,Operations[],21,FALSE)*$C11,2)))</f>
        <v/>
      </c>
      <c r="K11" s="227">
        <f t="shared" ref="K11:K29" si="0">IF(C11&gt;9999,"",ROUND(SUM(E11:J11),2))</f>
        <v>0</v>
      </c>
      <c r="L11" s="229"/>
    </row>
    <row r="12" spans="1:15" x14ac:dyDescent="0.2">
      <c r="A12" s="294">
        <v>3</v>
      </c>
      <c r="B12" s="273"/>
      <c r="C12" s="269"/>
      <c r="D12" s="275"/>
      <c r="E12" s="227" t="str">
        <f>IF(B12=0,"",IF(C12&gt;9999,"",ROUND('General Variables'!$B$4*VLOOKUP(B12,Operations[],10,FALSE)/VLOOKUP(B12,Operations[],9,FALSE)*C12,2)))</f>
        <v/>
      </c>
      <c r="F12" s="227">
        <f>IF(B12=0,0,IF(C12&gt;9999,"",ROUND(IF(VLOOKUP(B12,Operations[],12,FALSE)=0,VLOOKUP(B12,Operations[],13,FALSE)*'General Variables'!$B$8,VLOOKUP(B12,Operations[],12,FALSE)*'General Variables'!$B$7)/VLOOKUP(B12,Operations[],9,FALSE)*C12,2)))</f>
        <v>0</v>
      </c>
      <c r="G12" s="227">
        <f>IF(B12=0,0,IF(C12&gt;9999,"",ROUND(VLOOKUP(VLOOKUP(B12,Operations[],11,FALSE),PowerUnits[],10,FALSE)/VLOOKUP(B12,Operations[],9,FALSE)*C12,2)))</f>
        <v>0</v>
      </c>
      <c r="H12" s="227" t="str">
        <f>IF(B12=0,"",IF(C12&gt;9999,"",ROUND(VLOOKUP($B12,Operations[],15,FALSE)*C12,2)))</f>
        <v/>
      </c>
      <c r="I12" s="227">
        <f>IF(B12=0,0,IF(C12&gt;9999,"",ROUND(VLOOKUP(VLOOKUP(B12,Operations[],11,FALSE),PowerUnits[],16,FALSE)/VLOOKUP(B12,Operations[],9,FALSE)*C12,2)))</f>
        <v>0</v>
      </c>
      <c r="J12" s="227" t="str">
        <f>IF(B12=0,"",IF(C12&gt;9999,"",ROUND(VLOOKUP($B12,Operations[],21,FALSE)*$C12,2)))</f>
        <v/>
      </c>
      <c r="K12" s="227">
        <f t="shared" si="0"/>
        <v>0</v>
      </c>
      <c r="L12" s="229"/>
    </row>
    <row r="13" spans="1:15" x14ac:dyDescent="0.2">
      <c r="A13" s="294">
        <v>4</v>
      </c>
      <c r="B13" s="273"/>
      <c r="C13" s="269"/>
      <c r="D13" s="275"/>
      <c r="E13" s="227" t="str">
        <f>IF(B13=0,"",IF(C13&gt;9999,"",ROUND('General Variables'!$B$4*VLOOKUP(B13,Operations[],10,FALSE)/VLOOKUP(B13,Operations[],9,FALSE)*C13,2)))</f>
        <v/>
      </c>
      <c r="F13" s="227">
        <f>IF(B13=0,0,IF(C13&gt;9999,"",ROUND(IF(VLOOKUP(B13,Operations[],12,FALSE)=0,VLOOKUP(B13,Operations[],13,FALSE)*'General Variables'!$B$8,VLOOKUP(B13,Operations[],12,FALSE)*'General Variables'!$B$7)/VLOOKUP(B13,Operations[],9,FALSE)*C13,2)))</f>
        <v>0</v>
      </c>
      <c r="G13" s="227">
        <f>IF(B13=0,0,IF(C13&gt;9999,"",ROUND(VLOOKUP(VLOOKUP(B13,Operations[],11,FALSE),PowerUnits[],10,FALSE)/VLOOKUP(B13,Operations[],9,FALSE)*C13,2)))</f>
        <v>0</v>
      </c>
      <c r="H13" s="227" t="str">
        <f>IF(B13=0,"",IF(C13&gt;9999,"",ROUND(VLOOKUP($B13,Operations[],15,FALSE)*C13,2)))</f>
        <v/>
      </c>
      <c r="I13" s="227">
        <f>IF(B13=0,0,IF(C13&gt;9999,"",ROUND(VLOOKUP(VLOOKUP(B13,Operations[],11,FALSE),PowerUnits[],16,FALSE)/VLOOKUP(B13,Operations[],9,FALSE)*C13,2)))</f>
        <v>0</v>
      </c>
      <c r="J13" s="227" t="str">
        <f>IF(B13=0,"",IF(C13&gt;9999,"",ROUND(VLOOKUP($B13,Operations[],21,FALSE)*$C13,2)))</f>
        <v/>
      </c>
      <c r="K13" s="227">
        <f t="shared" si="0"/>
        <v>0</v>
      </c>
      <c r="L13" s="229"/>
    </row>
    <row r="14" spans="1:15" x14ac:dyDescent="0.2">
      <c r="A14" s="294">
        <v>5</v>
      </c>
      <c r="B14" s="273"/>
      <c r="C14" s="269"/>
      <c r="D14" s="275"/>
      <c r="E14" s="227" t="str">
        <f>IF(B14=0,"",IF(C14&gt;9999,"",ROUND('General Variables'!$B$4*VLOOKUP(B14,Operations[],10,FALSE)/VLOOKUP(B14,Operations[],9,FALSE)*C14,2)))</f>
        <v/>
      </c>
      <c r="F14" s="227">
        <f>IF(B14=0,0,IF(C14&gt;9999,"",ROUND(IF(VLOOKUP(B14,Operations[],12,FALSE)=0,VLOOKUP(B14,Operations[],13,FALSE)*'General Variables'!$B$8,VLOOKUP(B14,Operations[],12,FALSE)*'General Variables'!$B$7)/VLOOKUP(B14,Operations[],9,FALSE)*C14,2)))</f>
        <v>0</v>
      </c>
      <c r="G14" s="227">
        <f>IF(B14=0,0,IF(C14&gt;9999,"",ROUND(VLOOKUP(VLOOKUP(B14,Operations[],11,FALSE),PowerUnits[],10,FALSE)/VLOOKUP(B14,Operations[],9,FALSE)*C14,2)))</f>
        <v>0</v>
      </c>
      <c r="H14" s="227" t="str">
        <f>IF(B14=0,"",IF(C14&gt;9999,"",ROUND(VLOOKUP($B14,Operations[],15,FALSE)*C14,2)))</f>
        <v/>
      </c>
      <c r="I14" s="227">
        <f>IF(B14=0,0,IF(C14&gt;9999,"",ROUND(VLOOKUP(VLOOKUP(B14,Operations[],11,FALSE),PowerUnits[],16,FALSE)/VLOOKUP(B14,Operations[],9,FALSE)*C14,2)))</f>
        <v>0</v>
      </c>
      <c r="J14" s="227" t="str">
        <f>IF(B14=0,"",IF(C14&gt;9999,"",ROUND(VLOOKUP($B14,Operations[],21,FALSE)*$C14,2)))</f>
        <v/>
      </c>
      <c r="K14" s="227">
        <f t="shared" si="0"/>
        <v>0</v>
      </c>
      <c r="L14" s="229"/>
    </row>
    <row r="15" spans="1:15" x14ac:dyDescent="0.2">
      <c r="A15" s="294">
        <v>6</v>
      </c>
      <c r="B15" s="273"/>
      <c r="C15" s="269"/>
      <c r="D15" s="275"/>
      <c r="E15" s="227" t="str">
        <f>IF(B15=0,"",IF(C15&gt;9999,"",ROUND('General Variables'!$B$4*VLOOKUP(B15,Operations[],10,FALSE)/VLOOKUP(B15,Operations[],9,FALSE)*C15,2)))</f>
        <v/>
      </c>
      <c r="F15" s="227">
        <f>IF(B15=0,0,IF(C15&gt;9999,"",ROUND(IF(VLOOKUP(B15,Operations[],12,FALSE)=0,VLOOKUP(B15,Operations[],13,FALSE)*'General Variables'!$B$8,VLOOKUP(B15,Operations[],12,FALSE)*'General Variables'!$B$7)/VLOOKUP(B15,Operations[],9,FALSE)*C15,2)))</f>
        <v>0</v>
      </c>
      <c r="G15" s="227">
        <f>IF(B15=0,0,IF(C15&gt;9999,"",ROUND(VLOOKUP(VLOOKUP(B15,Operations[],11,FALSE),PowerUnits[],10,FALSE)/VLOOKUP(B15,Operations[],9,FALSE)*C15,2)))</f>
        <v>0</v>
      </c>
      <c r="H15" s="227" t="str">
        <f>IF(B15=0,"",IF(C15&gt;9999,"",ROUND(VLOOKUP($B15,Operations[],15,FALSE)*C15,2)))</f>
        <v/>
      </c>
      <c r="I15" s="227">
        <f>IF(B15=0,0,IF(C15&gt;9999,"",ROUND(VLOOKUP(VLOOKUP(B15,Operations[],11,FALSE),PowerUnits[],16,FALSE)/VLOOKUP(B15,Operations[],9,FALSE)*C15,2)))</f>
        <v>0</v>
      </c>
      <c r="J15" s="227" t="str">
        <f>IF(B15=0,"",IF(C15&gt;9999,"",ROUND(VLOOKUP($B15,Operations[],21,FALSE)*$C15,2)))</f>
        <v/>
      </c>
      <c r="K15" s="227">
        <f t="shared" si="0"/>
        <v>0</v>
      </c>
      <c r="L15" s="229"/>
    </row>
    <row r="16" spans="1:15" x14ac:dyDescent="0.2">
      <c r="A16" s="294">
        <v>7</v>
      </c>
      <c r="B16" s="273"/>
      <c r="C16" s="269"/>
      <c r="D16" s="275"/>
      <c r="E16" s="227" t="str">
        <f>IF(B16=0,"",IF(C16&gt;9999,"",ROUND('General Variables'!$B$4*VLOOKUP(B16,Operations[],10,FALSE)/VLOOKUP(B16,Operations[],9,FALSE)*C16,2)))</f>
        <v/>
      </c>
      <c r="F16" s="227">
        <f>IF(B16=0,0,IF(C16&gt;9999,"",ROUND(IF(VLOOKUP(B16,Operations[],12,FALSE)=0,VLOOKUP(B16,Operations[],13,FALSE)*'General Variables'!$B$8,VLOOKUP(B16,Operations[],12,FALSE)*'General Variables'!$B$7)/VLOOKUP(B16,Operations[],9,FALSE)*C16,2)))</f>
        <v>0</v>
      </c>
      <c r="G16" s="227">
        <f>IF(B16=0,0,IF(C16&gt;9999,"",ROUND(VLOOKUP(VLOOKUP(B16,Operations[],11,FALSE),PowerUnits[],10,FALSE)/VLOOKUP(B16,Operations[],9,FALSE)*C16,2)))</f>
        <v>0</v>
      </c>
      <c r="H16" s="227" t="str">
        <f>IF(B16=0,"",IF(C16&gt;9999,"",ROUND(VLOOKUP($B16,Operations[],15,FALSE)*C16,2)))</f>
        <v/>
      </c>
      <c r="I16" s="227">
        <f>IF(B16=0,0,IF(C16&gt;9999,"",ROUND(VLOOKUP(VLOOKUP(B16,Operations[],11,FALSE),PowerUnits[],16,FALSE)/VLOOKUP(B16,Operations[],9,FALSE)*C16,2)))</f>
        <v>0</v>
      </c>
      <c r="J16" s="227" t="str">
        <f>IF(B16=0,"",IF(C16&gt;9999,"",ROUND(VLOOKUP($B16,Operations[],21,FALSE)*$C16,2)))</f>
        <v/>
      </c>
      <c r="K16" s="227">
        <f t="shared" si="0"/>
        <v>0</v>
      </c>
      <c r="L16" s="229"/>
    </row>
    <row r="17" spans="1:12" x14ac:dyDescent="0.2">
      <c r="A17" s="294">
        <v>8</v>
      </c>
      <c r="B17" s="273"/>
      <c r="C17" s="269"/>
      <c r="D17" s="275"/>
      <c r="E17" s="227" t="str">
        <f>IF(B17=0,"",IF(C17&gt;9999,"",ROUND('General Variables'!$B$4*VLOOKUP(B17,Operations[],10,FALSE)/VLOOKUP(B17,Operations[],9,FALSE)*C17,2)))</f>
        <v/>
      </c>
      <c r="F17" s="227">
        <f>IF(B17=0,0,IF(C17&gt;9999,"",ROUND(IF(VLOOKUP(B17,Operations[],12,FALSE)=0,VLOOKUP(B17,Operations[],13,FALSE)*'General Variables'!$B$8,VLOOKUP(B17,Operations[],12,FALSE)*'General Variables'!$B$7)/VLOOKUP(B17,Operations[],9,FALSE)*C17,2)))</f>
        <v>0</v>
      </c>
      <c r="G17" s="227">
        <f>IF(B17=0,0,IF(C17&gt;9999,"",ROUND(VLOOKUP(VLOOKUP(B17,Operations[],11,FALSE),PowerUnits[],10,FALSE)/VLOOKUP(B17,Operations[],9,FALSE)*C17,2)))</f>
        <v>0</v>
      </c>
      <c r="H17" s="227" t="str">
        <f>IF(B17=0,"",IF(C17&gt;9999,"",ROUND(VLOOKUP($B17,Operations[],15,FALSE)*C17,2)))</f>
        <v/>
      </c>
      <c r="I17" s="227">
        <f>IF(B17=0,0,IF(C17&gt;9999,"",ROUND(VLOOKUP(VLOOKUP(B17,Operations[],11,FALSE),PowerUnits[],16,FALSE)/VLOOKUP(B17,Operations[],9,FALSE)*C17,2)))</f>
        <v>0</v>
      </c>
      <c r="J17" s="227" t="str">
        <f>IF(B17=0,"",IF(C17&gt;9999,"",ROUND(VLOOKUP($B17,Operations[],21,FALSE)*$C17,2)))</f>
        <v/>
      </c>
      <c r="K17" s="227">
        <f>IF(C17&gt;9999,"",ROUND(SUM(E17:J17),2))</f>
        <v>0</v>
      </c>
      <c r="L17" s="229"/>
    </row>
    <row r="18" spans="1:12" x14ac:dyDescent="0.2">
      <c r="A18" s="294">
        <v>9</v>
      </c>
      <c r="B18" s="273"/>
      <c r="C18" s="269"/>
      <c r="D18" s="275"/>
      <c r="E18" s="227" t="str">
        <f>IF(B18=0,"",IF(C18&gt;9999,"",ROUND('General Variables'!$B$4*VLOOKUP(B18,Operations[],10,FALSE)/VLOOKUP(B18,Operations[],9,FALSE)*C18,2)))</f>
        <v/>
      </c>
      <c r="F18" s="227">
        <f>IF(B18=0,0,IF(C18&gt;9999,"",ROUND(IF(VLOOKUP(B18,Operations[],12,FALSE)=0,VLOOKUP(B18,Operations[],13,FALSE)*'General Variables'!$B$8,VLOOKUP(B18,Operations[],12,FALSE)*'General Variables'!$B$7)/VLOOKUP(B18,Operations[],9,FALSE)*C18,2)))</f>
        <v>0</v>
      </c>
      <c r="G18" s="227">
        <f>IF(B18=0,0,IF(C18&gt;9999,"",ROUND(VLOOKUP(VLOOKUP(B18,Operations[],11,FALSE),PowerUnits[],10,FALSE)/VLOOKUP(B18,Operations[],9,FALSE)*C18,2)))</f>
        <v>0</v>
      </c>
      <c r="H18" s="227" t="str">
        <f>IF(B18=0,"",IF(C18&gt;9999,"",ROUND(VLOOKUP($B18,Operations[],15,FALSE)*C18,2)))</f>
        <v/>
      </c>
      <c r="I18" s="227">
        <f>IF(B18=0,0,IF(C18&gt;9999,"",ROUND(VLOOKUP(VLOOKUP(B18,Operations[],11,FALSE),PowerUnits[],16,FALSE)/VLOOKUP(B18,Operations[],9,FALSE)*C18,2)))</f>
        <v>0</v>
      </c>
      <c r="J18" s="227" t="str">
        <f>IF(B18=0,"",IF(C18&gt;9999,"",ROUND(VLOOKUP($B18,Operations[],21,FALSE)*$C18,2)))</f>
        <v/>
      </c>
      <c r="K18" s="227">
        <f t="shared" si="0"/>
        <v>0</v>
      </c>
      <c r="L18" s="229"/>
    </row>
    <row r="19" spans="1:12" x14ac:dyDescent="0.2">
      <c r="A19" s="294">
        <v>10</v>
      </c>
      <c r="B19" s="273"/>
      <c r="C19" s="269"/>
      <c r="D19" s="275"/>
      <c r="E19" s="227" t="str">
        <f>IF(B19=0,"",IF(C19&gt;9999,"",ROUND('General Variables'!$B$4*VLOOKUP(B19,Operations[],10,FALSE)/VLOOKUP(B19,Operations[],9,FALSE)*C19,2)))</f>
        <v/>
      </c>
      <c r="F19" s="227">
        <f>IF(B19=0,0,IF(C19&gt;9999,"",ROUND(IF(VLOOKUP(B19,Operations[],12,FALSE)=0,VLOOKUP(B19,Operations[],13,FALSE)*'General Variables'!$B$8,VLOOKUP(B19,Operations[],12,FALSE)*'General Variables'!$B$7)/VLOOKUP(B19,Operations[],9,FALSE)*C19,2)))</f>
        <v>0</v>
      </c>
      <c r="G19" s="227">
        <f>IF(B19=0,0,IF(C19&gt;9999,"",ROUND(VLOOKUP(VLOOKUP(B19,Operations[],11,FALSE),PowerUnits[],10,FALSE)/VLOOKUP(B19,Operations[],9,FALSE)*C19,2)))</f>
        <v>0</v>
      </c>
      <c r="H19" s="227" t="str">
        <f>IF(B19=0,"",IF(C19&gt;9999,"",ROUND(VLOOKUP($B19,Operations[],15,FALSE)*C19,2)))</f>
        <v/>
      </c>
      <c r="I19" s="227">
        <f>IF(B19=0,0,IF(C19&gt;9999,"",ROUND(VLOOKUP(VLOOKUP(B19,Operations[],11,FALSE),PowerUnits[],16,FALSE)/VLOOKUP(B19,Operations[],9,FALSE)*C19,2)))</f>
        <v>0</v>
      </c>
      <c r="J19" s="227" t="str">
        <f>IF(B19=0,"",IF(C19&gt;9999,"",ROUND(VLOOKUP($B19,Operations[],21,FALSE)*$C19,2)))</f>
        <v/>
      </c>
      <c r="K19" s="227">
        <f t="shared" si="0"/>
        <v>0</v>
      </c>
      <c r="L19" s="229"/>
    </row>
    <row r="20" spans="1:12" x14ac:dyDescent="0.2">
      <c r="A20" s="294">
        <v>11</v>
      </c>
      <c r="B20" s="273"/>
      <c r="C20" s="269"/>
      <c r="D20" s="275"/>
      <c r="E20" s="227" t="str">
        <f>IF(B20=0,"",IF(C20&gt;9999,"",ROUND('General Variables'!$B$4*VLOOKUP(B20,Operations[],10,FALSE)/VLOOKUP(B20,Operations[],9,FALSE)*C20,2)))</f>
        <v/>
      </c>
      <c r="F20" s="227">
        <f>IF(B20=0,0,IF(C20&gt;9999,"",ROUND(IF(VLOOKUP(B20,Operations[],12,FALSE)=0,VLOOKUP(B20,Operations[],13,FALSE)*'General Variables'!$B$8,VLOOKUP(B20,Operations[],12,FALSE)*'General Variables'!$B$7)/VLOOKUP(B20,Operations[],9,FALSE)*C20,2)))</f>
        <v>0</v>
      </c>
      <c r="G20" s="227">
        <f>IF(B20=0,0,IF(C20&gt;9999,"",ROUND(VLOOKUP(VLOOKUP(B20,Operations[],11,FALSE),PowerUnits[],10,FALSE)/VLOOKUP(B20,Operations[],9,FALSE)*C20,2)))</f>
        <v>0</v>
      </c>
      <c r="H20" s="227" t="str">
        <f>IF(B20=0,"",IF(C20&gt;9999,"",ROUND(VLOOKUP($B20,Operations[],15,FALSE)*C20,2)))</f>
        <v/>
      </c>
      <c r="I20" s="227">
        <f>IF(B20=0,0,IF(C20&gt;9999,"",ROUND(VLOOKUP(VLOOKUP(B20,Operations[],11,FALSE),PowerUnits[],16,FALSE)/VLOOKUP(B20,Operations[],9,FALSE)*C20,2)))</f>
        <v>0</v>
      </c>
      <c r="J20" s="227" t="str">
        <f>IF(B20=0,"",IF(C20&gt;9999,"",ROUND(VLOOKUP($B20,Operations[],21,FALSE)*$C20,2)))</f>
        <v/>
      </c>
      <c r="K20" s="227">
        <f t="shared" si="0"/>
        <v>0</v>
      </c>
      <c r="L20" s="229"/>
    </row>
    <row r="21" spans="1:12" x14ac:dyDescent="0.2">
      <c r="A21" s="294">
        <v>12</v>
      </c>
      <c r="B21" s="273"/>
      <c r="C21" s="269"/>
      <c r="D21" s="275"/>
      <c r="E21" s="227" t="str">
        <f>IF(B21=0,"",IF(C21&gt;9999,"",ROUND('General Variables'!$B$4*VLOOKUP(B21,Operations[],10,FALSE)/VLOOKUP(B21,Operations[],9,FALSE)*C21,2)))</f>
        <v/>
      </c>
      <c r="F21" s="227">
        <f>IF(B21=0,0,IF(C21&gt;9999,"",ROUND(IF(VLOOKUP(B21,Operations[],12,FALSE)=0,VLOOKUP(B21,Operations[],13,FALSE)*'General Variables'!$B$8,VLOOKUP(B21,Operations[],12,FALSE)*'General Variables'!$B$7)/VLOOKUP(B21,Operations[],9,FALSE)*C21,2)))</f>
        <v>0</v>
      </c>
      <c r="G21" s="227">
        <f>IF(B21=0,0,IF(C21&gt;9999,"",ROUND(VLOOKUP(VLOOKUP(B21,Operations[],11,FALSE),PowerUnits[],10,FALSE)/VLOOKUP(B21,Operations[],9,FALSE)*C21,2)))</f>
        <v>0</v>
      </c>
      <c r="H21" s="227" t="str">
        <f>IF(B21=0,"",IF(C21&gt;9999,"",ROUND(VLOOKUP($B21,Operations[],15,FALSE)*C21,2)))</f>
        <v/>
      </c>
      <c r="I21" s="227">
        <f>IF(B21=0,0,IF(C21&gt;9999,"",ROUND(VLOOKUP(VLOOKUP(B21,Operations[],11,FALSE),PowerUnits[],16,FALSE)/VLOOKUP(B21,Operations[],9,FALSE)*C21,2)))</f>
        <v>0</v>
      </c>
      <c r="J21" s="227" t="str">
        <f>IF(B21=0,"",IF(C21&gt;9999,"",ROUND(VLOOKUP($B21,Operations[],21,FALSE)*$C21,2)))</f>
        <v/>
      </c>
      <c r="K21" s="227">
        <f t="shared" si="0"/>
        <v>0</v>
      </c>
      <c r="L21" s="229"/>
    </row>
    <row r="22" spans="1:12" x14ac:dyDescent="0.2">
      <c r="A22" s="294">
        <v>13</v>
      </c>
      <c r="B22" s="273"/>
      <c r="C22" s="269"/>
      <c r="D22" s="275"/>
      <c r="E22" s="227" t="str">
        <f>IF(B22=0,"",IF(C22&gt;9999,"",ROUND('General Variables'!$B$4*VLOOKUP(B22,Operations[],10,FALSE)/VLOOKUP(B22,Operations[],9,FALSE)*C22,2)))</f>
        <v/>
      </c>
      <c r="F22" s="227">
        <f>IF(B22=0,0,IF(C22&gt;9999,"",ROUND(IF(VLOOKUP(B22,Operations[],12,FALSE)=0,VLOOKUP(B22,Operations[],13,FALSE)*'General Variables'!$B$8,VLOOKUP(B22,Operations[],12,FALSE)*'General Variables'!$B$7)/VLOOKUP(B22,Operations[],9,FALSE)*C22,2)))</f>
        <v>0</v>
      </c>
      <c r="G22" s="227">
        <f>IF(B22=0,0,IF(C22&gt;9999,"",ROUND(VLOOKUP(VLOOKUP(B22,Operations[],11,FALSE),PowerUnits[],10,FALSE)/VLOOKUP(B22,Operations[],9,FALSE)*C22,2)))</f>
        <v>0</v>
      </c>
      <c r="H22" s="227" t="str">
        <f>IF(B22=0,"",IF(C22&gt;9999,"",ROUND(VLOOKUP($B22,Operations[],15,FALSE)*C22,2)))</f>
        <v/>
      </c>
      <c r="I22" s="227">
        <f>IF(B22=0,0,IF(C22&gt;9999,"",ROUND(VLOOKUP(VLOOKUP(B22,Operations[],11,FALSE),PowerUnits[],16,FALSE)/VLOOKUP(B22,Operations[],9,FALSE)*C22,2)))</f>
        <v>0</v>
      </c>
      <c r="J22" s="227" t="str">
        <f>IF(B22=0,"",IF(C22&gt;9999,"",ROUND(VLOOKUP($B22,Operations[],21,FALSE)*$C22,2)))</f>
        <v/>
      </c>
      <c r="K22" s="227">
        <f t="shared" si="0"/>
        <v>0</v>
      </c>
      <c r="L22" s="229"/>
    </row>
    <row r="23" spans="1:12" x14ac:dyDescent="0.2">
      <c r="A23" s="294">
        <v>14</v>
      </c>
      <c r="B23" s="274"/>
      <c r="C23" s="270"/>
      <c r="D23" s="275"/>
      <c r="E23" s="227" t="str">
        <f>IF(B23=0,"",IF(C23&gt;9999,"",ROUND('General Variables'!$B$4*VLOOKUP(B23,Operations[],10,FALSE)/VLOOKUP(B23,Operations[],9,FALSE)*C23,2)))</f>
        <v/>
      </c>
      <c r="F23" s="227">
        <f>IF(B23=0,0,IF(C23&gt;9999,"",ROUND(IF(VLOOKUP(B23,Operations[],12,FALSE)=0,VLOOKUP(B23,Operations[],13,FALSE)*'General Variables'!$B$8,VLOOKUP(B23,Operations[],12,FALSE)*'General Variables'!$B$7)/VLOOKUP(B23,Operations[],9,FALSE)*C23,2)))</f>
        <v>0</v>
      </c>
      <c r="G23" s="227">
        <f>IF(B23=0,0,IF(C23&gt;9999,"",ROUND(VLOOKUP(VLOOKUP(B23,Operations[],11,FALSE),PowerUnits[],10,FALSE)/VLOOKUP(B23,Operations[],9,FALSE)*C23,2)))</f>
        <v>0</v>
      </c>
      <c r="H23" s="227" t="str">
        <f>IF(B23=0,"",IF(C23&gt;9999,"",ROUND(VLOOKUP($B23,Operations[],15,FALSE)*C23,2)))</f>
        <v/>
      </c>
      <c r="I23" s="227">
        <f>IF(B23=0,0,IF(C23&gt;9999,"",ROUND(VLOOKUP(VLOOKUP(B23,Operations[],11,FALSE),PowerUnits[],16,FALSE)/VLOOKUP(B23,Operations[],9,FALSE)*C23,2)))</f>
        <v>0</v>
      </c>
      <c r="J23" s="227" t="str">
        <f>IF(B23=0,"",IF(C23&gt;9999,"",ROUND(VLOOKUP($B23,Operations[],21,FALSE)*$C23,2)))</f>
        <v/>
      </c>
      <c r="K23" s="227">
        <f t="shared" si="0"/>
        <v>0</v>
      </c>
      <c r="L23" s="229"/>
    </row>
    <row r="24" spans="1:12" x14ac:dyDescent="0.2">
      <c r="A24" s="294">
        <v>15</v>
      </c>
      <c r="B24" s="274"/>
      <c r="C24" s="270"/>
      <c r="D24" s="275"/>
      <c r="E24" s="227" t="str">
        <f>IF(B24=0,"",IF(C24&gt;9999,"",ROUND('General Variables'!$B$4*VLOOKUP(B24,Operations[],10,FALSE)/VLOOKUP(B24,Operations[],9,FALSE)*C24,2)))</f>
        <v/>
      </c>
      <c r="F24" s="227">
        <f>IF(B24=0,0,IF(C24&gt;9999,"",ROUND(IF(VLOOKUP(B24,Operations[],12,FALSE)=0,VLOOKUP(B24,Operations[],13,FALSE)*'General Variables'!$B$8,VLOOKUP(B24,Operations[],12,FALSE)*'General Variables'!$B$7)/VLOOKUP(B24,Operations[],9,FALSE)*C24,2)))</f>
        <v>0</v>
      </c>
      <c r="G24" s="227">
        <f>IF(B24=0,0,IF(C24&gt;9999,"",ROUND(VLOOKUP(VLOOKUP(B24,Operations[],11,FALSE),PowerUnits[],10,FALSE)/VLOOKUP(B24,Operations[],9,FALSE)*C24,2)))</f>
        <v>0</v>
      </c>
      <c r="H24" s="227" t="str">
        <f>IF(B24=0,"",IF(C24&gt;9999,"",ROUND(VLOOKUP($B24,Operations[],15,FALSE)*C24,2)))</f>
        <v/>
      </c>
      <c r="I24" s="227">
        <f>IF(B24=0,0,IF(C24&gt;9999,"",ROUND(VLOOKUP(VLOOKUP(B24,Operations[],11,FALSE),PowerUnits[],16,FALSE)/VLOOKUP(B24,Operations[],9,FALSE)*C24,2)))</f>
        <v>0</v>
      </c>
      <c r="J24" s="227" t="str">
        <f>IF(B24=0,"",IF(C24&gt;9999,"",ROUND(VLOOKUP($B24,Operations[],21,FALSE)*$C24,2)))</f>
        <v/>
      </c>
      <c r="K24" s="227">
        <f t="shared" si="0"/>
        <v>0</v>
      </c>
      <c r="L24" s="229"/>
    </row>
    <row r="25" spans="1:12" x14ac:dyDescent="0.2">
      <c r="A25" s="294">
        <v>16</v>
      </c>
      <c r="B25" s="274"/>
      <c r="C25" s="270"/>
      <c r="D25" s="275"/>
      <c r="E25" s="227" t="str">
        <f>IF(B25=0,"",IF(C25&gt;9999,"",ROUND('General Variables'!$B$4*VLOOKUP(B25,Operations[],10,FALSE)/VLOOKUP(B25,Operations[],9,FALSE)*C25,2)))</f>
        <v/>
      </c>
      <c r="F25" s="227">
        <f>IF(B25=0,0,IF(C25&gt;9999,"",ROUND(IF(VLOOKUP(B25,Operations[],12,FALSE)=0,VLOOKUP(B25,Operations[],13,FALSE)*'General Variables'!$B$8,VLOOKUP(B25,Operations[],12,FALSE)*'General Variables'!$B$7)/VLOOKUP(B25,Operations[],9,FALSE)*C25,2)))</f>
        <v>0</v>
      </c>
      <c r="G25" s="227">
        <f>IF(B25=0,0,IF(C25&gt;9999,"",ROUND(VLOOKUP(VLOOKUP(B25,Operations[],11,FALSE),PowerUnits[],10,FALSE)/VLOOKUP(B25,Operations[],9,FALSE)*C25,2)))</f>
        <v>0</v>
      </c>
      <c r="H25" s="227" t="str">
        <f>IF(B25=0,"",IF(C25&gt;9999,"",ROUND(VLOOKUP($B25,Operations[],15,FALSE)*C25,2)))</f>
        <v/>
      </c>
      <c r="I25" s="227">
        <f>IF(B25=0,0,IF(C25&gt;9999,"",ROUND(VLOOKUP(VLOOKUP(B25,Operations[],11,FALSE),PowerUnits[],16,FALSE)/VLOOKUP(B25,Operations[],9,FALSE)*C25,2)))</f>
        <v>0</v>
      </c>
      <c r="J25" s="227" t="str">
        <f>IF(B25=0,"",IF(C25&gt;9999,"",ROUND(VLOOKUP($B25,Operations[],21,FALSE)*$C25,2)))</f>
        <v/>
      </c>
      <c r="K25" s="227">
        <f t="shared" si="0"/>
        <v>0</v>
      </c>
      <c r="L25" s="229"/>
    </row>
    <row r="26" spans="1:12" x14ac:dyDescent="0.2">
      <c r="A26" s="294">
        <v>17</v>
      </c>
      <c r="B26" s="274"/>
      <c r="C26" s="270"/>
      <c r="D26" s="275"/>
      <c r="E26" s="227" t="str">
        <f>IF(B26=0,"",IF(C26&gt;9999,"",ROUND('General Variables'!$B$4*VLOOKUP(B26,Operations[],10,FALSE)/VLOOKUP(B26,Operations[],9,FALSE)*C26,2)))</f>
        <v/>
      </c>
      <c r="F26" s="227">
        <f>IF(B26=0,0,IF(C26&gt;9999,"",ROUND(IF(VLOOKUP(B26,Operations[],12,FALSE)=0,VLOOKUP(B26,Operations[],13,FALSE)*'General Variables'!$B$8,VLOOKUP(B26,Operations[],12,FALSE)*'General Variables'!$B$7)/VLOOKUP(B26,Operations[],9,FALSE)*C26,2)))</f>
        <v>0</v>
      </c>
      <c r="G26" s="227">
        <f>IF(B26=0,0,IF(C26&gt;9999,"",ROUND(VLOOKUP(VLOOKUP(B26,Operations[],11,FALSE),PowerUnits[],10,FALSE)/VLOOKUP(B26,Operations[],9,FALSE)*C26,2)))</f>
        <v>0</v>
      </c>
      <c r="H26" s="227" t="str">
        <f>IF(B26=0,"",IF(C26&gt;9999,"",ROUND(VLOOKUP($B26,Operations[],15,FALSE)*C26,2)))</f>
        <v/>
      </c>
      <c r="I26" s="227">
        <f>IF(B26=0,0,IF(C26&gt;9999,"",ROUND(VLOOKUP(VLOOKUP(B26,Operations[],11,FALSE),PowerUnits[],16,FALSE)/VLOOKUP(B26,Operations[],9,FALSE)*C26,2)))</f>
        <v>0</v>
      </c>
      <c r="J26" s="227" t="str">
        <f>IF(B26=0,"",IF(C26&gt;9999,"",ROUND(VLOOKUP($B26,Operations[],21,FALSE)*$C26,2)))</f>
        <v/>
      </c>
      <c r="K26" s="227">
        <f t="shared" si="0"/>
        <v>0</v>
      </c>
      <c r="L26" s="229"/>
    </row>
    <row r="27" spans="1:12" x14ac:dyDescent="0.2">
      <c r="A27" s="294">
        <v>18</v>
      </c>
      <c r="B27" s="274"/>
      <c r="C27" s="270"/>
      <c r="D27" s="275"/>
      <c r="E27" s="227" t="str">
        <f>IF(B27=0,"",IF(C27&gt;9999,"",ROUND('General Variables'!$B$4*VLOOKUP(B27,Operations[],10,FALSE)/VLOOKUP(B27,Operations[],9,FALSE)*C27,2)))</f>
        <v/>
      </c>
      <c r="F27" s="227">
        <f>IF(B27=0,0,IF(C27&gt;9999,"",ROUND(IF(VLOOKUP(B27,Operations[],12,FALSE)=0,VLOOKUP(B27,Operations[],13,FALSE)*'General Variables'!$B$8,VLOOKUP(B27,Operations[],12,FALSE)*'General Variables'!$B$7)/VLOOKUP(B27,Operations[],9,FALSE)*C27,2)))</f>
        <v>0</v>
      </c>
      <c r="G27" s="227">
        <f>IF(B27=0,0,IF(C27&gt;9999,"",ROUND(VLOOKUP(VLOOKUP(B27,Operations[],11,FALSE),PowerUnits[],10,FALSE)/VLOOKUP(B27,Operations[],9,FALSE)*C27,2)))</f>
        <v>0</v>
      </c>
      <c r="H27" s="227" t="str">
        <f>IF(B27=0,"",IF(C27&gt;9999,"",ROUND(VLOOKUP($B27,Operations[],15,FALSE)*C27,2)))</f>
        <v/>
      </c>
      <c r="I27" s="227">
        <f>IF(B27=0,0,IF(C27&gt;9999,"",ROUND(VLOOKUP(VLOOKUP(B27,Operations[],11,FALSE),PowerUnits[],16,FALSE)/VLOOKUP(B27,Operations[],9,FALSE)*C27,2)))</f>
        <v>0</v>
      </c>
      <c r="J27" s="227" t="str">
        <f>IF(B27=0,"",IF(C27&gt;9999,"",ROUND(VLOOKUP($B27,Operations[],21,FALSE)*$C27,2)))</f>
        <v/>
      </c>
      <c r="K27" s="227">
        <f t="shared" si="0"/>
        <v>0</v>
      </c>
      <c r="L27" s="229"/>
    </row>
    <row r="28" spans="1:12" x14ac:dyDescent="0.2">
      <c r="A28" s="294">
        <v>19</v>
      </c>
      <c r="B28" s="274"/>
      <c r="C28" s="270"/>
      <c r="D28" s="275"/>
      <c r="E28" s="227" t="str">
        <f>IF(B28=0,"",IF(C28&gt;9999,"",ROUND('General Variables'!$B$4*VLOOKUP(B28,Operations[],10,FALSE)/VLOOKUP(B28,Operations[],9,FALSE)*C28,2)))</f>
        <v/>
      </c>
      <c r="F28" s="227">
        <f>IF(B28=0,0,IF(C28&gt;9999,"",ROUND(IF(VLOOKUP(B28,Operations[],12,FALSE)=0,VLOOKUP(B28,Operations[],13,FALSE)*'General Variables'!$B$8,VLOOKUP(B28,Operations[],12,FALSE)*'General Variables'!$B$7)/VLOOKUP(B28,Operations[],9,FALSE)*C28,2)))</f>
        <v>0</v>
      </c>
      <c r="G28" s="227">
        <f>IF(B28=0,0,IF(C28&gt;9999,"",ROUND(VLOOKUP(VLOOKUP(B28,Operations[],11,FALSE),PowerUnits[],10,FALSE)/VLOOKUP(B28,Operations[],9,FALSE)*C28,2)))</f>
        <v>0</v>
      </c>
      <c r="H28" s="227" t="str">
        <f>IF(B28=0,"",IF(C28&gt;9999,"",ROUND(VLOOKUP($B28,Operations[],15,FALSE)*C28,2)))</f>
        <v/>
      </c>
      <c r="I28" s="227">
        <f>IF(B28=0,0,IF(C28&gt;9999,"",ROUND(VLOOKUP(VLOOKUP(B28,Operations[],11,FALSE),PowerUnits[],16,FALSE)/VLOOKUP(B28,Operations[],9,FALSE)*C28,2)))</f>
        <v>0</v>
      </c>
      <c r="J28" s="227" t="str">
        <f>IF(B28=0,"",IF(C28&gt;9999,"",ROUND(VLOOKUP($B28,Operations[],21,FALSE)*$C28,2)))</f>
        <v/>
      </c>
      <c r="K28" s="227">
        <f t="shared" si="0"/>
        <v>0</v>
      </c>
      <c r="L28" s="247"/>
    </row>
    <row r="29" spans="1:12" x14ac:dyDescent="0.2">
      <c r="A29" s="294">
        <v>20</v>
      </c>
      <c r="B29" s="274"/>
      <c r="C29" s="270"/>
      <c r="D29" s="275"/>
      <c r="E29" s="227" t="str">
        <f>IF(B29=0,"",IF(C29&gt;9999,"",ROUND('General Variables'!$B$4*VLOOKUP(B29,Operations[],10,FALSE)/VLOOKUP(B29,Operations[],9,FALSE)*C29,2)))</f>
        <v/>
      </c>
      <c r="F29" s="227">
        <f>IF(B29=0,0,IF(C29&gt;9999,"",ROUND(IF(VLOOKUP(B29,Operations[],12,FALSE)=0,VLOOKUP(B29,Operations[],13,FALSE)*'General Variables'!$B$8,VLOOKUP(B29,Operations[],12,FALSE)*'General Variables'!$B$7)/VLOOKUP(B29,Operations[],9,FALSE)*C29,2)))</f>
        <v>0</v>
      </c>
      <c r="G29" s="227">
        <f>IF(B29=0,0,IF(C29&gt;9999,"",ROUND(VLOOKUP(VLOOKUP(B29,Operations[],11,FALSE),PowerUnits[],10,FALSE)/VLOOKUP(B29,Operations[],9,FALSE)*C29,2)))</f>
        <v>0</v>
      </c>
      <c r="H29" s="227" t="str">
        <f>IF(B29=0,"",IF(C29&gt;9999,"",ROUND(VLOOKUP($B29,Operations[],15,FALSE)*C29,2)))</f>
        <v/>
      </c>
      <c r="I29" s="227">
        <f>IF(B29=0,0,IF(C29&gt;9999,"",ROUND(VLOOKUP(VLOOKUP(B29,Operations[],11,FALSE),PowerUnits[],16,FALSE)/VLOOKUP(B29,Operations[],9,FALSE)*C29,2)))</f>
        <v>0</v>
      </c>
      <c r="J29" s="227" t="str">
        <f>IF(B29=0,"",IF(C29&gt;9999,"",ROUND(VLOOKUP($B29,Operations[],21,FALSE)*$C29,2)))</f>
        <v/>
      </c>
      <c r="K29" s="227">
        <f t="shared" si="0"/>
        <v>0</v>
      </c>
      <c r="L29" s="264"/>
    </row>
    <row r="30" spans="1:12" ht="3" customHeight="1" thickBot="1" x14ac:dyDescent="0.25">
      <c r="A30" s="294"/>
      <c r="B30" s="248"/>
      <c r="C30" s="249"/>
      <c r="D30" s="249"/>
      <c r="E30" s="221"/>
      <c r="F30" s="221"/>
      <c r="G30" s="221"/>
      <c r="H30" s="221"/>
      <c r="I30" s="221"/>
      <c r="J30" s="221"/>
      <c r="K30" s="221"/>
      <c r="L30" s="245"/>
    </row>
    <row r="31" spans="1:12" ht="13.5" thickTop="1" x14ac:dyDescent="0.2">
      <c r="C31" s="218" t="s">
        <v>83</v>
      </c>
      <c r="D31" s="218"/>
      <c r="E31" s="256">
        <f>SUM(E10:E29)</f>
        <v>0</v>
      </c>
      <c r="F31" s="256">
        <f t="shared" ref="F31:K31" si="1">SUM(F10:F29)</f>
        <v>0</v>
      </c>
      <c r="G31" s="256">
        <f t="shared" si="1"/>
        <v>0</v>
      </c>
      <c r="H31" s="256">
        <f t="shared" si="1"/>
        <v>0</v>
      </c>
      <c r="I31" s="256">
        <f t="shared" si="1"/>
        <v>0</v>
      </c>
      <c r="J31" s="256">
        <f t="shared" si="1"/>
        <v>0</v>
      </c>
      <c r="K31" s="256">
        <f t="shared" si="1"/>
        <v>0</v>
      </c>
      <c r="L31" s="229"/>
    </row>
    <row r="33" spans="1:12" ht="24" customHeight="1" thickBot="1" x14ac:dyDescent="0.25">
      <c r="B33" s="264"/>
      <c r="C33" s="264"/>
      <c r="D33" s="264"/>
      <c r="E33" s="264"/>
      <c r="F33" s="316" t="s">
        <v>97</v>
      </c>
      <c r="G33" s="316" t="s">
        <v>94</v>
      </c>
      <c r="H33" s="317" t="s">
        <v>98</v>
      </c>
      <c r="I33" s="317"/>
      <c r="J33" s="316" t="s">
        <v>69</v>
      </c>
      <c r="L33" s="317" t="s">
        <v>402</v>
      </c>
    </row>
    <row r="34" spans="1:12" s="220" customFormat="1" ht="14.25" thickTop="1" thickBot="1" x14ac:dyDescent="0.25">
      <c r="B34" s="219" t="s">
        <v>93</v>
      </c>
      <c r="C34" s="292"/>
      <c r="D34" s="292"/>
      <c r="E34" s="292"/>
      <c r="F34" s="316"/>
      <c r="G34" s="316"/>
      <c r="H34" s="292" t="s">
        <v>99</v>
      </c>
      <c r="I34" s="292" t="s">
        <v>77</v>
      </c>
      <c r="J34" s="316"/>
      <c r="K34" s="292" t="s">
        <v>95</v>
      </c>
      <c r="L34" s="316"/>
    </row>
    <row r="35" spans="1:12" ht="13.5" thickTop="1" x14ac:dyDescent="0.2">
      <c r="A35" s="228"/>
      <c r="B35" s="273"/>
      <c r="C35" s="314" t="str">
        <f>IF(B35=0,"",VLOOKUP($B35,Materials[],2,FALSE))</f>
        <v/>
      </c>
      <c r="D35" s="314"/>
      <c r="E35" s="314"/>
      <c r="F35" s="269"/>
      <c r="G35" s="271"/>
      <c r="H35" s="286"/>
      <c r="I35" s="222" t="str">
        <f>IF($B35=0,"",VLOOKUP($B35,Materials[],5,FALSE))</f>
        <v/>
      </c>
      <c r="J35" s="224" t="str">
        <f>IF($B35=0,"",VLOOKUP($B35,Materials[],7,FALSE))</f>
        <v/>
      </c>
      <c r="K35" s="256">
        <f>IF(B35=0,0,ROUND(G35*H35*J35,2))</f>
        <v>0</v>
      </c>
      <c r="L35" s="229"/>
    </row>
    <row r="36" spans="1:12" x14ac:dyDescent="0.2">
      <c r="A36" s="228"/>
      <c r="B36" s="273"/>
      <c r="C36" s="314" t="str">
        <f>IF(B36=0,"",VLOOKUP($B36,Materials[],2,FALSE))</f>
        <v/>
      </c>
      <c r="D36" s="314"/>
      <c r="E36" s="314"/>
      <c r="F36" s="269"/>
      <c r="G36" s="271"/>
      <c r="H36" s="286"/>
      <c r="I36" s="222" t="str">
        <f>IF($B36=0,"",VLOOKUP($B36,Materials[],5,FALSE))</f>
        <v/>
      </c>
      <c r="J36" s="224" t="str">
        <f>IF($B36=0,"",VLOOKUP($B36,Materials[],7,FALSE))</f>
        <v/>
      </c>
      <c r="K36" s="256">
        <f t="shared" ref="K36:K53" si="2">IF(B36=0,0,ROUND(G36*H36*J36,2))</f>
        <v>0</v>
      </c>
      <c r="L36" s="229"/>
    </row>
    <row r="37" spans="1:12" x14ac:dyDescent="0.2">
      <c r="A37" s="228"/>
      <c r="B37" s="273"/>
      <c r="C37" s="314" t="str">
        <f>IF(B37=0,"",VLOOKUP($B37,Materials[],2,FALSE))</f>
        <v/>
      </c>
      <c r="D37" s="314"/>
      <c r="E37" s="314"/>
      <c r="F37" s="269"/>
      <c r="G37" s="271"/>
      <c r="H37" s="286"/>
      <c r="I37" s="222" t="str">
        <f>IF($B37=0,"",VLOOKUP($B37,Materials[],5,FALSE))</f>
        <v/>
      </c>
      <c r="J37" s="224" t="str">
        <f>IF($B37=0,"",VLOOKUP($B37,Materials[],7,FALSE))</f>
        <v/>
      </c>
      <c r="K37" s="256">
        <f t="shared" si="2"/>
        <v>0</v>
      </c>
      <c r="L37" s="229"/>
    </row>
    <row r="38" spans="1:12" x14ac:dyDescent="0.2">
      <c r="A38" s="228"/>
      <c r="B38" s="273"/>
      <c r="C38" s="314" t="str">
        <f>IF(B38=0,"",VLOOKUP($B38,Materials[],2,FALSE))</f>
        <v/>
      </c>
      <c r="D38" s="314"/>
      <c r="E38" s="314"/>
      <c r="F38" s="269"/>
      <c r="G38" s="271"/>
      <c r="H38" s="286"/>
      <c r="I38" s="222" t="str">
        <f>IF($B38=0,"",VLOOKUP($B38,Materials[],5,FALSE))</f>
        <v/>
      </c>
      <c r="J38" s="224" t="str">
        <f>IF($B38=0,"",VLOOKUP($B38,Materials[],7,FALSE))</f>
        <v/>
      </c>
      <c r="K38" s="256">
        <f t="shared" si="2"/>
        <v>0</v>
      </c>
      <c r="L38" s="229"/>
    </row>
    <row r="39" spans="1:12" x14ac:dyDescent="0.2">
      <c r="A39" s="228"/>
      <c r="B39" s="273"/>
      <c r="C39" s="314" t="str">
        <f>IF(B39=0,"",VLOOKUP($B39,Materials[],2,FALSE))</f>
        <v/>
      </c>
      <c r="D39" s="314"/>
      <c r="E39" s="314"/>
      <c r="F39" s="269"/>
      <c r="G39" s="271"/>
      <c r="H39" s="287"/>
      <c r="I39" s="222" t="str">
        <f>IF($B39=0,"",VLOOKUP($B39,Materials[],5,FALSE))</f>
        <v/>
      </c>
      <c r="J39" s="224" t="str">
        <f>IF($B39=0,"",VLOOKUP($B39,Materials[],7,FALSE))</f>
        <v/>
      </c>
      <c r="K39" s="256">
        <f t="shared" si="2"/>
        <v>0</v>
      </c>
      <c r="L39" s="229"/>
    </row>
    <row r="40" spans="1:12" x14ac:dyDescent="0.2">
      <c r="A40" s="228"/>
      <c r="B40" s="273"/>
      <c r="C40" s="314" t="str">
        <f>IF(B40=0,"",VLOOKUP($B40,Materials[],2,FALSE))</f>
        <v/>
      </c>
      <c r="D40" s="314"/>
      <c r="E40" s="314"/>
      <c r="F40" s="269"/>
      <c r="G40" s="271"/>
      <c r="H40" s="287"/>
      <c r="I40" s="222" t="str">
        <f>IF($B40=0,"",VLOOKUP($B40,Materials[],5,FALSE))</f>
        <v/>
      </c>
      <c r="J40" s="224" t="str">
        <f>IF($B40=0,"",VLOOKUP($B40,Materials[],7,FALSE))</f>
        <v/>
      </c>
      <c r="K40" s="256">
        <f t="shared" si="2"/>
        <v>0</v>
      </c>
      <c r="L40" s="229"/>
    </row>
    <row r="41" spans="1:12" x14ac:dyDescent="0.2">
      <c r="A41" s="239"/>
      <c r="B41" s="273"/>
      <c r="C41" s="314" t="str">
        <f>IF(B41=0,"",VLOOKUP($B41,Materials[],2,FALSE))</f>
        <v/>
      </c>
      <c r="D41" s="314"/>
      <c r="E41" s="314"/>
      <c r="F41" s="269"/>
      <c r="G41" s="271"/>
      <c r="H41" s="286"/>
      <c r="I41" s="222" t="str">
        <f>IF($B41=0,"",VLOOKUP($B41,Materials[],5,FALSE))</f>
        <v/>
      </c>
      <c r="J41" s="224" t="str">
        <f>IF($B41=0,"",VLOOKUP($B41,Materials[],7,FALSE))</f>
        <v/>
      </c>
      <c r="K41" s="256">
        <f t="shared" si="2"/>
        <v>0</v>
      </c>
      <c r="L41" s="229"/>
    </row>
    <row r="42" spans="1:12" x14ac:dyDescent="0.2">
      <c r="A42" s="239"/>
      <c r="B42" s="273"/>
      <c r="C42" s="314" t="str">
        <f>IF(B42=0,"",VLOOKUP($B42,Materials[],2,FALSE))</f>
        <v/>
      </c>
      <c r="D42" s="314"/>
      <c r="E42" s="314"/>
      <c r="F42" s="269"/>
      <c r="G42" s="271"/>
      <c r="H42" s="286"/>
      <c r="I42" s="222" t="str">
        <f>IF($B42=0,"",VLOOKUP($B42,Materials[],5,FALSE))</f>
        <v/>
      </c>
      <c r="J42" s="224" t="str">
        <f>IF($B42=0,"",VLOOKUP($B42,Materials[],7,FALSE))</f>
        <v/>
      </c>
      <c r="K42" s="256">
        <f t="shared" si="2"/>
        <v>0</v>
      </c>
      <c r="L42" s="229"/>
    </row>
    <row r="43" spans="1:12" x14ac:dyDescent="0.2">
      <c r="A43" s="239"/>
      <c r="B43" s="273"/>
      <c r="C43" s="314" t="str">
        <f>IF(B43=0,"",VLOOKUP($B43,Materials[],2,FALSE))</f>
        <v/>
      </c>
      <c r="D43" s="314"/>
      <c r="E43" s="314"/>
      <c r="F43" s="269"/>
      <c r="G43" s="271"/>
      <c r="H43" s="286"/>
      <c r="I43" s="222" t="str">
        <f>IF($B43=0,"",VLOOKUP($B43,Materials[],5,FALSE))</f>
        <v/>
      </c>
      <c r="J43" s="224" t="str">
        <f>IF($B43=0,"",VLOOKUP($B43,Materials[],7,FALSE))</f>
        <v/>
      </c>
      <c r="K43" s="256">
        <f t="shared" si="2"/>
        <v>0</v>
      </c>
      <c r="L43" s="229"/>
    </row>
    <row r="44" spans="1:12" x14ac:dyDescent="0.2">
      <c r="A44" s="239"/>
      <c r="B44" s="273"/>
      <c r="C44" s="314" t="str">
        <f>IF(B44=0,"",VLOOKUP($B44,Materials[],2,FALSE))</f>
        <v/>
      </c>
      <c r="D44" s="314"/>
      <c r="E44" s="314"/>
      <c r="F44" s="269"/>
      <c r="G44" s="271"/>
      <c r="H44" s="286"/>
      <c r="I44" s="222" t="str">
        <f>IF($B44=0,"",VLOOKUP($B44,Materials[],5,FALSE))</f>
        <v/>
      </c>
      <c r="J44" s="224" t="str">
        <f>IF($B44=0,"",VLOOKUP($B44,Materials[],7,FALSE))</f>
        <v/>
      </c>
      <c r="K44" s="256">
        <f t="shared" si="2"/>
        <v>0</v>
      </c>
      <c r="L44" s="229"/>
    </row>
    <row r="45" spans="1:12" x14ac:dyDescent="0.2">
      <c r="A45" s="239"/>
      <c r="B45" s="273"/>
      <c r="C45" s="314" t="str">
        <f>IF(B45=0,"",VLOOKUP($B45,Materials[],2,FALSE))</f>
        <v/>
      </c>
      <c r="D45" s="314"/>
      <c r="E45" s="314"/>
      <c r="F45" s="269"/>
      <c r="G45" s="271"/>
      <c r="H45" s="286"/>
      <c r="I45" s="222" t="str">
        <f>IF($B45=0,"",VLOOKUP($B45,Materials[],5,FALSE))</f>
        <v/>
      </c>
      <c r="J45" s="224" t="str">
        <f>IF($B45=0,"",VLOOKUP($B45,Materials[],7,FALSE))</f>
        <v/>
      </c>
      <c r="K45" s="256">
        <f t="shared" si="2"/>
        <v>0</v>
      </c>
      <c r="L45" s="229"/>
    </row>
    <row r="46" spans="1:12" x14ac:dyDescent="0.2">
      <c r="A46" s="228"/>
      <c r="B46" s="273"/>
      <c r="C46" s="314" t="str">
        <f>IF(B46=0,"",VLOOKUP($B46,Materials[],2,FALSE))</f>
        <v/>
      </c>
      <c r="D46" s="314"/>
      <c r="E46" s="314"/>
      <c r="F46" s="269"/>
      <c r="G46" s="271"/>
      <c r="H46" s="286"/>
      <c r="I46" s="222" t="str">
        <f>IF($B46=0,"",VLOOKUP($B46,Materials[],5,FALSE))</f>
        <v/>
      </c>
      <c r="J46" s="224" t="str">
        <f>IF($B46=0,"",VLOOKUP($B46,Materials[],7,FALSE))</f>
        <v/>
      </c>
      <c r="K46" s="256">
        <f t="shared" si="2"/>
        <v>0</v>
      </c>
      <c r="L46" s="229"/>
    </row>
    <row r="47" spans="1:12" x14ac:dyDescent="0.2">
      <c r="A47" s="228"/>
      <c r="B47" s="273"/>
      <c r="C47" s="314" t="str">
        <f>IF(B47=0,"",VLOOKUP($B47,Materials[],2,FALSE))</f>
        <v/>
      </c>
      <c r="D47" s="314"/>
      <c r="E47" s="314"/>
      <c r="F47" s="269"/>
      <c r="G47" s="271"/>
      <c r="H47" s="286"/>
      <c r="I47" s="222" t="str">
        <f>IF($B47=0,"",VLOOKUP($B47,Materials[],5,FALSE))</f>
        <v/>
      </c>
      <c r="J47" s="224" t="str">
        <f>IF($B47=0,"",VLOOKUP($B47,Materials[],7,FALSE))</f>
        <v/>
      </c>
      <c r="K47" s="256">
        <f t="shared" si="2"/>
        <v>0</v>
      </c>
      <c r="L47" s="229"/>
    </row>
    <row r="48" spans="1:12" x14ac:dyDescent="0.2">
      <c r="B48" s="274"/>
      <c r="C48" s="314" t="str">
        <f>IF(B48=0,"",VLOOKUP($B48,Materials[],2,FALSE))</f>
        <v/>
      </c>
      <c r="D48" s="314"/>
      <c r="E48" s="314"/>
      <c r="F48" s="270"/>
      <c r="G48" s="271"/>
      <c r="H48" s="288"/>
      <c r="I48" s="222" t="str">
        <f>IF($B48=0,"",VLOOKUP($B48,Materials[],5,FALSE))</f>
        <v/>
      </c>
      <c r="J48" s="224" t="str">
        <f>IF($B48=0,"",VLOOKUP($B48,Materials[],7,FALSE))</f>
        <v/>
      </c>
      <c r="K48" s="256">
        <f t="shared" si="2"/>
        <v>0</v>
      </c>
      <c r="L48" s="229"/>
    </row>
    <row r="49" spans="2:12" x14ac:dyDescent="0.2">
      <c r="B49" s="274"/>
      <c r="C49" s="314" t="str">
        <f>IF(B49=0,"",VLOOKUP($B49,Materials[],2,FALSE))</f>
        <v/>
      </c>
      <c r="D49" s="314"/>
      <c r="E49" s="314"/>
      <c r="F49" s="270"/>
      <c r="G49" s="271"/>
      <c r="H49" s="288"/>
      <c r="I49" s="222" t="str">
        <f>IF($B49=0,"",VLOOKUP($B49,Materials[],5,FALSE))</f>
        <v/>
      </c>
      <c r="J49" s="224" t="str">
        <f>IF($B49=0,"",VLOOKUP($B49,Materials[],7,FALSE))</f>
        <v/>
      </c>
      <c r="K49" s="256">
        <f t="shared" si="2"/>
        <v>0</v>
      </c>
      <c r="L49" s="229"/>
    </row>
    <row r="50" spans="2:12" x14ac:dyDescent="0.2">
      <c r="B50" s="274"/>
      <c r="C50" s="314" t="str">
        <f>IF(B50=0,"",VLOOKUP($B50,Materials[],2,FALSE))</f>
        <v/>
      </c>
      <c r="D50" s="314"/>
      <c r="E50" s="314"/>
      <c r="F50" s="270"/>
      <c r="G50" s="259"/>
      <c r="H50" s="288"/>
      <c r="I50" s="222" t="str">
        <f>IF($B50=0,"",VLOOKUP($B50,Materials[],5,FALSE))</f>
        <v/>
      </c>
      <c r="J50" s="224" t="str">
        <f>IF($B50=0,"",VLOOKUP($B50,Materials[],7,FALSE))</f>
        <v/>
      </c>
      <c r="K50" s="256">
        <f t="shared" si="2"/>
        <v>0</v>
      </c>
      <c r="L50" s="229"/>
    </row>
    <row r="51" spans="2:12" x14ac:dyDescent="0.2">
      <c r="B51" s="274"/>
      <c r="C51" s="314" t="str">
        <f>IF(B51=0,"",VLOOKUP($B51,Materials[],2,FALSE))</f>
        <v/>
      </c>
      <c r="D51" s="314"/>
      <c r="E51" s="314"/>
      <c r="F51" s="270"/>
      <c r="G51" s="259"/>
      <c r="H51" s="288"/>
      <c r="I51" s="222" t="str">
        <f>IF($B51=0,"",VLOOKUP($B51,Materials[],5,FALSE))</f>
        <v/>
      </c>
      <c r="J51" s="224" t="str">
        <f>IF($B51=0,"",VLOOKUP($B51,Materials[],7,FALSE))</f>
        <v/>
      </c>
      <c r="K51" s="256">
        <f t="shared" si="2"/>
        <v>0</v>
      </c>
      <c r="L51" s="229"/>
    </row>
    <row r="52" spans="2:12" x14ac:dyDescent="0.2">
      <c r="B52" s="274"/>
      <c r="C52" s="314" t="str">
        <f>IF(B52=0,"",VLOOKUP($B52,Materials[],2,FALSE))</f>
        <v/>
      </c>
      <c r="D52" s="314"/>
      <c r="E52" s="314"/>
      <c r="F52" s="270"/>
      <c r="G52" s="259"/>
      <c r="H52" s="288"/>
      <c r="I52" s="222" t="str">
        <f>IF($B52=0,"",VLOOKUP($B52,Materials[],5,FALSE))</f>
        <v/>
      </c>
      <c r="J52" s="224" t="str">
        <f>IF($B52=0,"",VLOOKUP($B52,Materials[],7,FALSE))</f>
        <v/>
      </c>
      <c r="K52" s="256">
        <f t="shared" si="2"/>
        <v>0</v>
      </c>
      <c r="L52" s="229"/>
    </row>
    <row r="53" spans="2:12" x14ac:dyDescent="0.2">
      <c r="B53" s="274"/>
      <c r="C53" s="314" t="str">
        <f>IF(B53=0,"",VLOOKUP($B53,Materials[],2,FALSE))</f>
        <v/>
      </c>
      <c r="D53" s="314"/>
      <c r="E53" s="314"/>
      <c r="F53" s="270"/>
      <c r="G53" s="259"/>
      <c r="H53" s="288"/>
      <c r="I53" s="222" t="str">
        <f>IF($B53=0,"",VLOOKUP($B53,Materials[],5,FALSE))</f>
        <v/>
      </c>
      <c r="J53" s="224" t="str">
        <f>IF($B53=0,"",VLOOKUP($B53,Materials[],7,FALSE))</f>
        <v/>
      </c>
      <c r="K53" s="256">
        <f t="shared" si="2"/>
        <v>0</v>
      </c>
      <c r="L53" s="247"/>
    </row>
    <row r="54" spans="2:12" x14ac:dyDescent="0.2">
      <c r="B54" s="274"/>
      <c r="C54" s="314" t="str">
        <f>IF(B54=0,"",VLOOKUP($B54,Materials[],2,FALSE))</f>
        <v/>
      </c>
      <c r="D54" s="314"/>
      <c r="E54" s="314"/>
      <c r="F54" s="270"/>
      <c r="G54" s="259"/>
      <c r="H54" s="288"/>
      <c r="I54" s="222" t="str">
        <f>IF($B54=0,"",VLOOKUP($B54,Materials[],5,FALSE))</f>
        <v/>
      </c>
      <c r="J54" s="224" t="str">
        <f>IF($B54=0,"",VLOOKUP($B54,Materials[],7,FALSE))</f>
        <v/>
      </c>
      <c r="K54" s="256">
        <f>IF(B54=0,0,ROUND(G54*H54*J54,2))</f>
        <v>0</v>
      </c>
      <c r="L54" s="247"/>
    </row>
    <row r="55" spans="2:12" x14ac:dyDescent="0.2">
      <c r="B55" s="274"/>
      <c r="C55" s="314" t="str">
        <f>IF(B55=0,"",VLOOKUP($B55,Materials[],2,FALSE))</f>
        <v/>
      </c>
      <c r="D55" s="314"/>
      <c r="E55" s="314"/>
      <c r="F55" s="270"/>
      <c r="G55" s="259"/>
      <c r="H55" s="288"/>
      <c r="I55" s="222" t="str">
        <f>IF($B55=0,"",VLOOKUP($B55,Materials[],5,FALSE))</f>
        <v/>
      </c>
      <c r="J55" s="224" t="str">
        <f>IF($B55=0,"",VLOOKUP($B55,Materials[],7,FALSE))</f>
        <v/>
      </c>
      <c r="K55" s="256">
        <f>IF(B55=0,0,ROUND(G55*H55*J55,2))</f>
        <v>0</v>
      </c>
      <c r="L55" s="247"/>
    </row>
    <row r="56" spans="2:12" x14ac:dyDescent="0.2">
      <c r="B56" s="274"/>
      <c r="C56" s="314" t="str">
        <f>IF(B56=0,"",VLOOKUP($B56,Materials[],2,FALSE))</f>
        <v/>
      </c>
      <c r="D56" s="314"/>
      <c r="E56" s="314"/>
      <c r="F56" s="270"/>
      <c r="G56" s="259"/>
      <c r="H56" s="288"/>
      <c r="I56" s="222" t="str">
        <f>IF($B56=0,"",VLOOKUP($B56,Materials[],5,FALSE))</f>
        <v/>
      </c>
      <c r="J56" s="224" t="str">
        <f>IF($B56=0,"",VLOOKUP($B56,Materials[],7,FALSE))</f>
        <v/>
      </c>
      <c r="K56" s="256">
        <f>IF(B56=0,0,ROUND(G56*H56*J56,2))</f>
        <v>0</v>
      </c>
      <c r="L56" s="247"/>
    </row>
    <row r="57" spans="2:12" x14ac:dyDescent="0.2">
      <c r="B57" s="274"/>
      <c r="C57" s="314" t="str">
        <f>IF(B57=0,"",VLOOKUP($B57,Materials[],2,FALSE))</f>
        <v/>
      </c>
      <c r="D57" s="314"/>
      <c r="E57" s="314"/>
      <c r="F57" s="270"/>
      <c r="G57" s="259"/>
      <c r="H57" s="288"/>
      <c r="I57" s="222" t="str">
        <f>IF($B57=0,"",VLOOKUP($B57,Materials[],5,FALSE))</f>
        <v/>
      </c>
      <c r="J57" s="224" t="str">
        <f>IF($B57=0,"",VLOOKUP($B57,Materials[],7,FALSE))</f>
        <v/>
      </c>
      <c r="K57" s="256">
        <f>IF(B57=0,0,ROUND(G57*H57*J57,2))</f>
        <v>0</v>
      </c>
      <c r="L57" s="247"/>
    </row>
    <row r="58" spans="2:12" x14ac:dyDescent="0.2">
      <c r="B58" s="274"/>
      <c r="C58" s="314" t="str">
        <f>IF(B58=0,"",VLOOKUP($B58,Materials[],2,FALSE))</f>
        <v/>
      </c>
      <c r="D58" s="314"/>
      <c r="E58" s="314"/>
      <c r="F58" s="270"/>
      <c r="G58" s="259"/>
      <c r="H58" s="288"/>
      <c r="I58" s="222" t="str">
        <f>IF($B58=0,"",VLOOKUP($B58,Materials[],5,FALSE))</f>
        <v/>
      </c>
      <c r="J58" s="224" t="str">
        <f>IF($B58=0,"",VLOOKUP($B58,Materials[],7,FALSE))</f>
        <v/>
      </c>
      <c r="K58" s="256">
        <f>IF(B58=0,0,ROUND(G58*H58*J58,2))</f>
        <v>0</v>
      </c>
      <c r="L58" s="247"/>
    </row>
    <row r="59" spans="2:12" x14ac:dyDescent="0.2">
      <c r="B59" s="274"/>
      <c r="C59" s="315">
        <f>IF(B59=0,0,"Crop Insurance")</f>
        <v>0</v>
      </c>
      <c r="D59" s="315"/>
      <c r="E59" s="315"/>
      <c r="F59" s="270"/>
      <c r="G59" s="259">
        <f>IF(B59=0,0,100%)</f>
        <v>0</v>
      </c>
      <c r="H59" s="288">
        <f>IF(B59=0,0,1)</f>
        <v>0</v>
      </c>
      <c r="I59" s="222">
        <f>IF(B59=0,0,"acre")</f>
        <v>0</v>
      </c>
      <c r="J59" s="224">
        <f>IFERROR(VLOOKUP(B59,CropInsurance,2,FALSE),0)</f>
        <v>0</v>
      </c>
      <c r="K59" s="227">
        <f>IF(B59=0,0,J59)</f>
        <v>0</v>
      </c>
      <c r="L59" s="247"/>
    </row>
    <row r="60" spans="2:12" ht="3.75" customHeight="1" thickBot="1" x14ac:dyDescent="0.25">
      <c r="B60" s="248"/>
      <c r="C60" s="246"/>
      <c r="D60" s="246"/>
      <c r="E60" s="246"/>
      <c r="F60" s="249"/>
      <c r="G60" s="250"/>
      <c r="H60" s="251"/>
      <c r="I60" s="223"/>
      <c r="J60" s="225"/>
      <c r="K60" s="221"/>
      <c r="L60" s="245"/>
    </row>
    <row r="61" spans="2:12" ht="13.5" thickTop="1" x14ac:dyDescent="0.2">
      <c r="C61" s="218" t="s">
        <v>96</v>
      </c>
      <c r="D61" s="218"/>
      <c r="J61" s="256"/>
      <c r="K61" s="256">
        <f>SUM(K35:K59)</f>
        <v>0</v>
      </c>
      <c r="L61" s="229"/>
    </row>
    <row r="62" spans="2:12" x14ac:dyDescent="0.2">
      <c r="B62" s="240"/>
    </row>
    <row r="63" spans="2:12" x14ac:dyDescent="0.2">
      <c r="B63" s="260" t="s">
        <v>100</v>
      </c>
      <c r="K63" s="256">
        <f>K31+K61</f>
        <v>0</v>
      </c>
      <c r="L63" s="229"/>
    </row>
    <row r="64" spans="2:12" ht="13.5" thickBot="1" x14ac:dyDescent="0.25">
      <c r="D64" s="232" t="s">
        <v>403</v>
      </c>
      <c r="E64" s="244">
        <f>SUM($E$31:$H$31)+$K$61</f>
        <v>0</v>
      </c>
      <c r="F64" s="309" t="s">
        <v>404</v>
      </c>
      <c r="G64" s="309"/>
      <c r="H64" s="233">
        <f>'General Variables'!$B$11</f>
        <v>5.5E-2</v>
      </c>
      <c r="I64" s="234" t="str">
        <f>CONCATENATE("for ",TEXT('General Variables'!$B$12,"0.0")," mo.")</f>
        <v>for 6.0 mo.</v>
      </c>
      <c r="K64" s="21">
        <f>ROUND(E64*H64*'General Variables'!$B$12/12,2)</f>
        <v>0</v>
      </c>
      <c r="L64" s="230"/>
    </row>
    <row r="65" spans="2:12" ht="13.5" thickTop="1" x14ac:dyDescent="0.2">
      <c r="B65" s="260" t="s">
        <v>408</v>
      </c>
      <c r="K65" s="256">
        <f>SUM(K63:K64)</f>
        <v>0</v>
      </c>
      <c r="L65" s="229"/>
    </row>
    <row r="67" spans="2:12" x14ac:dyDescent="0.2">
      <c r="B67" s="242" t="s">
        <v>436</v>
      </c>
      <c r="C67" s="231"/>
      <c r="D67" s="231"/>
      <c r="E67" s="231"/>
      <c r="F67" s="231"/>
      <c r="G67" s="231"/>
      <c r="H67" s="231"/>
      <c r="I67" s="231"/>
      <c r="J67" s="231"/>
      <c r="K67" s="22">
        <f>'General Variables'!B14</f>
        <v>20</v>
      </c>
      <c r="L67" s="229"/>
    </row>
    <row r="68" spans="2:12" x14ac:dyDescent="0.2">
      <c r="B68" s="217" t="s">
        <v>411</v>
      </c>
      <c r="C68" s="310"/>
      <c r="D68" s="311"/>
      <c r="E68" s="312"/>
      <c r="F68" s="236">
        <f>IF(C68=0,0,VLOOKUP(C68,RETable,2,FALSE))</f>
        <v>0</v>
      </c>
      <c r="G68" s="309" t="s">
        <v>412</v>
      </c>
      <c r="H68" s="309"/>
      <c r="I68" s="233">
        <f>'General Variables'!$B$10</f>
        <v>0.04</v>
      </c>
      <c r="K68" s="25">
        <f>ROUND(F68*I68,2)</f>
        <v>0</v>
      </c>
      <c r="L68" s="229"/>
    </row>
    <row r="69" spans="2:12" ht="13.5" thickBot="1" x14ac:dyDescent="0.25">
      <c r="B69" s="217" t="s">
        <v>420</v>
      </c>
      <c r="F69" s="243">
        <f>IF(C68=0,0,VLOOKUP(C68,RETable,2,FALSE))</f>
        <v>0</v>
      </c>
      <c r="G69" s="313" t="s">
        <v>412</v>
      </c>
      <c r="H69" s="313"/>
      <c r="I69" s="241">
        <f>'General Variables'!$B$13</f>
        <v>0.01</v>
      </c>
      <c r="J69" s="228"/>
      <c r="K69" s="26">
        <f>ROUND(F69*I69,2)</f>
        <v>0</v>
      </c>
      <c r="L69" s="230"/>
    </row>
    <row r="70" spans="2:12" ht="13.5" thickTop="1" x14ac:dyDescent="0.2">
      <c r="B70" s="260" t="s">
        <v>425</v>
      </c>
      <c r="K70" s="256">
        <f>SUM(K65:K69)</f>
        <v>20</v>
      </c>
      <c r="L70" s="229"/>
    </row>
    <row r="72" spans="2:12" x14ac:dyDescent="0.2">
      <c r="B72" s="260" t="str">
        <f>"Cost per "&amp;$B$4</f>
        <v>Cost per Unit</v>
      </c>
      <c r="K72" s="256">
        <f>IF(A4="Yield",0,K70/A4)</f>
        <v>0</v>
      </c>
      <c r="L72" s="229"/>
    </row>
    <row r="73" spans="2:12" x14ac:dyDescent="0.2">
      <c r="B73" s="237" t="str">
        <f>"Cash Cost per "&amp;$B$4</f>
        <v>Cash Cost per Unit</v>
      </c>
      <c r="C73" s="228"/>
      <c r="D73" s="228"/>
      <c r="E73" s="228"/>
      <c r="F73" s="228"/>
      <c r="G73" s="228"/>
      <c r="H73" s="228"/>
      <c r="I73" s="228"/>
      <c r="J73" s="228"/>
      <c r="K73" s="257">
        <f>IF(A4="Yield",0,(E64+K64)/A4)</f>
        <v>0</v>
      </c>
      <c r="L73" s="238"/>
    </row>
    <row r="83" spans="2:4" x14ac:dyDescent="0.2">
      <c r="B83" s="226"/>
      <c r="C83" s="226"/>
      <c r="D83" s="226"/>
    </row>
    <row r="84" spans="2:4" x14ac:dyDescent="0.2">
      <c r="B84" s="226"/>
      <c r="C84" s="226"/>
      <c r="D84" s="226"/>
    </row>
    <row r="85" spans="2:4" x14ac:dyDescent="0.2">
      <c r="B85" s="226"/>
      <c r="C85" s="226"/>
      <c r="D85" s="226"/>
    </row>
    <row r="86" spans="2:4" x14ac:dyDescent="0.2">
      <c r="B86" s="226"/>
      <c r="C86" s="226"/>
      <c r="D86" s="226"/>
    </row>
    <row r="87" spans="2:4" x14ac:dyDescent="0.2">
      <c r="B87" s="226"/>
      <c r="C87" s="226"/>
      <c r="D87" s="226"/>
    </row>
    <row r="88" spans="2:4" x14ac:dyDescent="0.2">
      <c r="B88" s="226"/>
      <c r="C88" s="226"/>
      <c r="D88" s="226"/>
    </row>
    <row r="89" spans="2:4" x14ac:dyDescent="0.2">
      <c r="B89" s="226"/>
      <c r="C89" s="226"/>
      <c r="D89" s="226"/>
    </row>
    <row r="90" spans="2:4" x14ac:dyDescent="0.2">
      <c r="B90" s="226"/>
      <c r="C90" s="226"/>
      <c r="D90" s="226"/>
    </row>
    <row r="91" spans="2:4" x14ac:dyDescent="0.2">
      <c r="B91" s="226"/>
      <c r="C91" s="226"/>
      <c r="D91" s="226"/>
    </row>
    <row r="92" spans="2:4" x14ac:dyDescent="0.2">
      <c r="B92" s="226"/>
      <c r="C92" s="226"/>
      <c r="D92" s="226"/>
    </row>
    <row r="93" spans="2:4" x14ac:dyDescent="0.2">
      <c r="B93" s="226"/>
      <c r="C93" s="226"/>
      <c r="D93" s="226"/>
    </row>
    <row r="94" spans="2:4" x14ac:dyDescent="0.2">
      <c r="B94" s="226"/>
      <c r="C94" s="226"/>
      <c r="D94" s="226"/>
    </row>
    <row r="95" spans="2:4" x14ac:dyDescent="0.2">
      <c r="B95" s="226"/>
      <c r="C95" s="226"/>
      <c r="D95" s="226"/>
    </row>
    <row r="96" spans="2:4" x14ac:dyDescent="0.2">
      <c r="B96" s="226"/>
      <c r="C96" s="226"/>
      <c r="D96" s="226"/>
    </row>
    <row r="97" spans="2:11" x14ac:dyDescent="0.2">
      <c r="B97" s="226"/>
      <c r="C97" s="226"/>
      <c r="D97" s="226"/>
    </row>
    <row r="98" spans="2:11" x14ac:dyDescent="0.2">
      <c r="B98" s="226"/>
      <c r="C98" s="226"/>
      <c r="D98" s="226"/>
    </row>
    <row r="99" spans="2:11" x14ac:dyDescent="0.2">
      <c r="B99" s="226"/>
      <c r="C99" s="226"/>
      <c r="D99" s="226"/>
    </row>
    <row r="100" spans="2:11" x14ac:dyDescent="0.2">
      <c r="B100" s="226"/>
      <c r="C100" s="226"/>
      <c r="D100" s="226"/>
    </row>
    <row r="101" spans="2:11" x14ac:dyDescent="0.2">
      <c r="B101" s="226"/>
      <c r="C101" s="226"/>
      <c r="D101" s="226"/>
    </row>
    <row r="102" spans="2:11" x14ac:dyDescent="0.2">
      <c r="B102" s="226"/>
      <c r="C102" s="226"/>
      <c r="D102" s="226"/>
    </row>
    <row r="103" spans="2:11" x14ac:dyDescent="0.2">
      <c r="B103" s="226"/>
      <c r="C103" s="226"/>
      <c r="D103" s="226"/>
    </row>
    <row r="104" spans="2:11" x14ac:dyDescent="0.2">
      <c r="B104" s="226"/>
      <c r="C104" s="226"/>
      <c r="D104" s="226"/>
    </row>
    <row r="105" spans="2:11" x14ac:dyDescent="0.2">
      <c r="B105" s="226"/>
      <c r="C105" s="226"/>
      <c r="D105" s="226"/>
    </row>
    <row r="106" spans="2:11" x14ac:dyDescent="0.2">
      <c r="B106" s="226"/>
      <c r="C106" s="226"/>
      <c r="D106" s="226"/>
    </row>
    <row r="107" spans="2:11" x14ac:dyDescent="0.2">
      <c r="B107" s="226"/>
      <c r="C107" s="226"/>
      <c r="D107" s="226"/>
    </row>
    <row r="108" spans="2:11" x14ac:dyDescent="0.2">
      <c r="B108" s="228" t="str">
        <f>IF(Operations!A2="","",Operations!A2)</f>
        <v>Aerial Spray</v>
      </c>
      <c r="C108" s="228" t="str">
        <f>IF(Materials!B2="","",Materials!B2)</f>
        <v>10-34-0</v>
      </c>
      <c r="D108" s="228"/>
      <c r="F108" s="217" t="str">
        <f>IF('General Variables'!E5=0,"",'General Variables'!E5)</f>
        <v>Dryland (State)</v>
      </c>
      <c r="H108" s="217" t="str">
        <f>'General Variables'!A18</f>
        <v>Corn Dryland</v>
      </c>
    </row>
    <row r="109" spans="2:11" x14ac:dyDescent="0.2">
      <c r="B109" s="228" t="str">
        <f>IF(Operations!A3="","",Operations!A3)</f>
        <v>Anhy Apply (supplier)</v>
      </c>
      <c r="C109" s="228" t="str">
        <f>IF(Materials!B3="","",Materials!B3)</f>
        <v>10-34-0-1Z</v>
      </c>
      <c r="D109" s="228"/>
      <c r="F109" s="217" t="str">
        <f>IF('General Variables'!E6=0,"",'General Variables'!E6)</f>
        <v>Dryland (Panhandle)</v>
      </c>
      <c r="H109" s="217" t="str">
        <f>'General Variables'!A19</f>
        <v>Corn Dryland Ecofallow</v>
      </c>
      <c r="K109" s="217" t="s">
        <v>571</v>
      </c>
    </row>
    <row r="110" spans="2:11" x14ac:dyDescent="0.2">
      <c r="B110" s="228" t="str">
        <f>IF(Operations!A4="","",Operations!A4)</f>
        <v>Anhydrous Apply</v>
      </c>
      <c r="C110" s="228" t="str">
        <f>IF(Materials!B4="","",Materials!B4)</f>
        <v>11-52-0</v>
      </c>
      <c r="D110" s="228"/>
      <c r="F110" s="217" t="str">
        <f>IF('General Variables'!E7=0,"",'General Variables'!E7)</f>
        <v>Gravity (State)</v>
      </c>
      <c r="H110" s="217" t="str">
        <f>'General Variables'!A20</f>
        <v>Corn Irrigated</v>
      </c>
      <c r="K110" s="217" t="s">
        <v>572</v>
      </c>
    </row>
    <row r="111" spans="2:11" x14ac:dyDescent="0.2">
      <c r="B111" s="228" t="str">
        <f>IF(Operations!A5="","",Operations!A5)</f>
        <v>Cart</v>
      </c>
      <c r="C111" s="228" t="str">
        <f>IF(Materials!B5="","",Materials!B5)</f>
        <v>2,4-D Amine</v>
      </c>
      <c r="D111" s="228"/>
      <c r="F111" s="217" t="str">
        <f>IF('General Variables'!E8=0,"",'General Variables'!E8)</f>
        <v>Gravity (Panhandle)</v>
      </c>
      <c r="H111" s="217" t="str">
        <f>'General Variables'!A21</f>
        <v>Drybeans</v>
      </c>
    </row>
    <row r="112" spans="2:11" x14ac:dyDescent="0.2">
      <c r="B112" s="228" t="str">
        <f>IF(Operations!A6="","",Operations!A6)</f>
        <v>Chisel</v>
      </c>
      <c r="C112" s="228" t="str">
        <f>IF(Materials!B6="","",Materials!B6)</f>
        <v>2,4-D Ester 4#</v>
      </c>
      <c r="D112" s="228"/>
      <c r="F112" s="217" t="str">
        <f>IF('General Variables'!E9=0,"",'General Variables'!E9)</f>
        <v>Pivot (State)</v>
      </c>
      <c r="H112" s="217" t="str">
        <f>'General Variables'!A22</f>
        <v>Grain Sorghum Dryland</v>
      </c>
    </row>
    <row r="113" spans="2:8" x14ac:dyDescent="0.2">
      <c r="B113" s="228" t="str">
        <f>IF(Operations!A7="","",Operations!A7)</f>
        <v>Chop Silage</v>
      </c>
      <c r="C113" s="228" t="str">
        <f>IF(Materials!B7="","",Materials!B7)</f>
        <v xml:space="preserve">21-0-0-24S   </v>
      </c>
      <c r="D113" s="228"/>
      <c r="F113" s="217" t="str">
        <f>IF('General Variables'!E10=0,"",'General Variables'!E10)</f>
        <v>Pivot (Panhandle)</v>
      </c>
      <c r="H113" s="217" t="str">
        <f>'General Variables'!A23</f>
        <v>Grain Sorghum Irrigated</v>
      </c>
    </row>
    <row r="114" spans="2:8" x14ac:dyDescent="0.2">
      <c r="B114" s="228" t="str">
        <f>IF(Operations!A8="","",Operations!A8)</f>
        <v>Chop Stalks</v>
      </c>
      <c r="C114" s="228" t="str">
        <f>IF(Materials!B8="","",Materials!B8)</f>
        <v>28-0-0</v>
      </c>
      <c r="D114" s="228"/>
      <c r="F114" s="217" t="str">
        <f>IF('General Variables'!E11=0,"",'General Variables'!E11)</f>
        <v>Dryland (Southwest)</v>
      </c>
      <c r="H114" s="217" t="str">
        <f>'General Variables'!A24</f>
        <v>Millet</v>
      </c>
    </row>
    <row r="115" spans="2:8" x14ac:dyDescent="0.2">
      <c r="B115" s="228" t="str">
        <f>IF(Operations!A9="","",Operations!A9)</f>
        <v>Combine Dryland Corn</v>
      </c>
      <c r="C115" s="228" t="str">
        <f>IF(Materials!B9="","",Materials!B9)</f>
        <v>32-0-0</v>
      </c>
      <c r="D115" s="228"/>
      <c r="F115" s="217" t="str">
        <f>IF('General Variables'!E12=0,"",'General Variables'!E12)</f>
        <v>Fall Establishment</v>
      </c>
      <c r="H115" s="217" t="str">
        <f>'General Variables'!A25</f>
        <v>Oats</v>
      </c>
    </row>
    <row r="116" spans="2:8" x14ac:dyDescent="0.2">
      <c r="B116" s="228" t="str">
        <f>IF(Operations!A10="","",Operations!A10)</f>
        <v>Combine Dryland SB</v>
      </c>
      <c r="C116" s="228" t="str">
        <f>IF(Materials!B10="","",Materials!B10)</f>
        <v>32-0-0 (Applied by Pivot)</v>
      </c>
      <c r="D116" s="228"/>
      <c r="F116" s="217" t="str">
        <f>IF('General Variables'!E13=0,"",'General Variables'!E13)</f>
        <v>Pivot (Marginal Land)</v>
      </c>
      <c r="H116" s="217" t="str">
        <f>'General Variables'!A26</f>
        <v>Soybeans Dryland</v>
      </c>
    </row>
    <row r="117" spans="2:8" x14ac:dyDescent="0.2">
      <c r="B117" s="228" t="str">
        <f>IF(Operations!A11="","",Operations!A11)</f>
        <v>Combine Dryland SG</v>
      </c>
      <c r="C117" s="228" t="str">
        <f>IF(Materials!B11="","",Materials!B11)</f>
        <v>32-0-0 (Applied by R2)</v>
      </c>
      <c r="D117" s="228"/>
      <c r="F117" s="217" t="e">
        <f>IF('General Variables'!#REF!=0,"",'General Variables'!#REF!)</f>
        <v>#REF!</v>
      </c>
      <c r="H117" s="217" t="str">
        <f>'General Variables'!A27</f>
        <v>Soybeans Irrigated</v>
      </c>
    </row>
    <row r="118" spans="2:8" x14ac:dyDescent="0.2">
      <c r="B118" s="228" t="str">
        <f>IF(Operations!A12="","",Operations!A12)</f>
        <v>Combine Irr Corn</v>
      </c>
      <c r="C118" s="228" t="str">
        <f>IF(Materials!B12="","",Materials!B12)</f>
        <v>32-0-0 (Additive)</v>
      </c>
      <c r="D118" s="228"/>
      <c r="F118" s="217" t="e">
        <f>IF('General Variables'!#REF!=0,"",'General Variables'!#REF!)</f>
        <v>#REF!</v>
      </c>
      <c r="H118" s="217" t="str">
        <f>'General Variables'!A28</f>
        <v>Sugar Beets</v>
      </c>
    </row>
    <row r="119" spans="2:8" x14ac:dyDescent="0.2">
      <c r="B119" s="228" t="str">
        <f>IF(Operations!A13="","",Operations!A13)</f>
        <v>Combine Irr Dry Beans</v>
      </c>
      <c r="C119" s="228" t="str">
        <f>IF(Materials!B13="","",Materials!B13)</f>
        <v>46-0-0</v>
      </c>
      <c r="D119" s="228"/>
      <c r="F119" s="217" t="e">
        <f>IF('General Variables'!#REF!=0,"",'General Variables'!#REF!)</f>
        <v>#REF!</v>
      </c>
      <c r="H119" s="217" t="str">
        <f>'General Variables'!A29</f>
        <v>Sunflower Dryland</v>
      </c>
    </row>
    <row r="120" spans="2:8" x14ac:dyDescent="0.2">
      <c r="B120" s="228" t="str">
        <f>IF(Operations!A14="","",Operations!A14)</f>
        <v>Combine Irr SB</v>
      </c>
      <c r="C120" s="228" t="str">
        <f>IF(Materials!B14="","",Materials!B14)</f>
        <v>82-0-0</v>
      </c>
      <c r="D120" s="228"/>
      <c r="F120" s="217" t="e">
        <f>IF('General Variables'!#REF!=0,"",'General Variables'!#REF!)</f>
        <v>#REF!</v>
      </c>
      <c r="H120" s="217" t="str">
        <f>'General Variables'!A30</f>
        <v>Sunflower Irrigated</v>
      </c>
    </row>
    <row r="121" spans="2:8" x14ac:dyDescent="0.2">
      <c r="B121" s="228" t="str">
        <f>IF(Operations!A15="","",Operations!A15)</f>
        <v>Combine Irr SG</v>
      </c>
      <c r="C121" s="228" t="str">
        <f>IF(Materials!B15="","",Materials!B15)</f>
        <v>AAtrex 4L</v>
      </c>
      <c r="D121" s="228"/>
      <c r="F121" s="217" t="e">
        <f>IF('General Variables'!#REF!=0,"",'General Variables'!#REF!)</f>
        <v>#REF!</v>
      </c>
      <c r="H121" s="217" t="str">
        <f>'General Variables'!A31</f>
        <v>Wheat After Crop</v>
      </c>
    </row>
    <row r="122" spans="2:8" x14ac:dyDescent="0.2">
      <c r="B122" s="228" t="str">
        <f>IF(Operations!A16="","",Operations!A16)</f>
        <v>Combine Irrigated Dry Beans with Draper Flex Platform</v>
      </c>
      <c r="C122" s="228" t="str">
        <f>IF(Materials!B16="","",Materials!B16)</f>
        <v>Aerial Spray</v>
      </c>
      <c r="D122" s="228"/>
      <c r="F122" s="217" t="e">
        <f>IF('General Variables'!#REF!=0,"",'General Variables'!#REF!)</f>
        <v>#REF!</v>
      </c>
      <c r="H122" s="217" t="str">
        <f>'General Variables'!A32</f>
        <v>Wheat Fallowed</v>
      </c>
    </row>
    <row r="123" spans="2:8" x14ac:dyDescent="0.2">
      <c r="B123" s="228" t="str">
        <f>IF(Operations!A17="","",Operations!A17)</f>
        <v>Combine Small Grain</v>
      </c>
      <c r="C123" s="228" t="str">
        <f>IF(Materials!B17="","",Materials!B17)</f>
        <v>Aim 2EC</v>
      </c>
      <c r="D123" s="228"/>
      <c r="F123" s="217" t="e">
        <f>IF('General Variables'!#REF!=0,"",'General Variables'!#REF!)</f>
        <v>#REF!</v>
      </c>
      <c r="H123" s="217" t="str">
        <f>'General Variables'!A33</f>
        <v>Wheat Irrigated</v>
      </c>
    </row>
    <row r="124" spans="2:8" x14ac:dyDescent="0.2">
      <c r="B124" s="228" t="str">
        <f>IF(Operations!A18="","",Operations!A18)</f>
        <v>Combine Sunflowers</v>
      </c>
      <c r="C124" s="228" t="str">
        <f>IF(Materials!B18="","",Materials!B18)</f>
        <v>Alfalfa RR w/ Inoculant</v>
      </c>
      <c r="D124" s="228"/>
      <c r="F124" s="217" t="e">
        <f>IF('General Variables'!#REF!=0,"",'General Variables'!#REF!)</f>
        <v>#REF!</v>
      </c>
    </row>
    <row r="125" spans="2:8" x14ac:dyDescent="0.2">
      <c r="B125" s="228" t="str">
        <f>IF(Operations!A19="","",Operations!A19)</f>
        <v>Corrugate</v>
      </c>
      <c r="C125" s="228" t="str">
        <f>IF(Materials!B19="","",Materials!B19)</f>
        <v>Alfalfa w/Inoculant</v>
      </c>
      <c r="D125" s="228"/>
      <c r="F125" s="217" t="e">
        <f>IF('General Variables'!#REF!=0,"",'General Variables'!#REF!)</f>
        <v>#REF!</v>
      </c>
    </row>
    <row r="126" spans="2:8" x14ac:dyDescent="0.2">
      <c r="B126" s="228" t="str">
        <f>IF(Operations!A20="","",Operations!A20)</f>
        <v>Disc</v>
      </c>
      <c r="C126" s="228" t="str">
        <f>IF(Materials!B20="","",Materials!B20)</f>
        <v>Ally Extra SGW/TOTSOL</v>
      </c>
      <c r="D126" s="228"/>
      <c r="F126" s="217" t="e">
        <f>IF('General Variables'!#REF!=0,"",'General Variables'!#REF!)</f>
        <v>#REF!</v>
      </c>
    </row>
    <row r="127" spans="2:8" x14ac:dyDescent="0.2">
      <c r="B127" s="228" t="str">
        <f>IF(Operations!A21="","",Operations!A21)</f>
        <v>Ditch Irrigation</v>
      </c>
      <c r="C127" s="228" t="str">
        <f>IF(Materials!B21="","",Materials!B21)</f>
        <v>Asana XL</v>
      </c>
      <c r="D127" s="228"/>
      <c r="F127" s="217" t="e">
        <f>IF('General Variables'!#REF!=0,"",'General Variables'!#REF!)</f>
        <v>#REF!</v>
      </c>
    </row>
    <row r="128" spans="2:8" x14ac:dyDescent="0.2">
      <c r="B128" s="228" t="str">
        <f>IF(Operations!A22="","",Operations!A22)</f>
        <v>Double Windrows</v>
      </c>
      <c r="C128" s="228" t="str">
        <f>IF(Materials!B22="","",Materials!B22)</f>
        <v>Atrazine 4L</v>
      </c>
      <c r="D128" s="228"/>
      <c r="F128" s="217" t="str">
        <f>IF('General Variables'!M3=0,"",'General Variables'!M3)</f>
        <v/>
      </c>
    </row>
    <row r="129" spans="2:6" x14ac:dyDescent="0.2">
      <c r="B129" s="228" t="str">
        <f>IF(Operations!A23="","",Operations!A23)</f>
        <v>Drill</v>
      </c>
      <c r="C129" s="228" t="str">
        <f>IF(Materials!B23="","",Materials!B23)</f>
        <v>Atrazine 90 DF</v>
      </c>
      <c r="D129" s="228"/>
      <c r="F129" s="217" t="str">
        <f>IF('General Variables'!I3=0,"",'General Variables'!I3)</f>
        <v/>
      </c>
    </row>
    <row r="130" spans="2:6" x14ac:dyDescent="0.2">
      <c r="B130" s="228" t="str">
        <f>IF(Operations!A24="","",Operations!A24)</f>
        <v>Drill w/ Fertillizer</v>
      </c>
      <c r="C130" s="228" t="str">
        <f>IF(Materials!B24="","",Materials!B24)</f>
        <v>Authority First DF</v>
      </c>
      <c r="D130" s="228"/>
      <c r="F130" s="217" t="e">
        <f>IF('General Variables'!#REF!=0,"",'General Variables'!#REF!)</f>
        <v>#REF!</v>
      </c>
    </row>
    <row r="131" spans="2:6" x14ac:dyDescent="0.2">
      <c r="B131" s="228" t="str">
        <f>IF(Operations!A25="","",Operations!A25)</f>
        <v>Dry Grain</v>
      </c>
      <c r="C131" s="228" t="str">
        <f>IF(Materials!B25="","",Materials!B25)</f>
        <v>Balance Flexx</v>
      </c>
      <c r="D131" s="228"/>
      <c r="F131" s="217" t="e">
        <f>IF('General Variables'!#REF!=0,"",'General Variables'!#REF!)</f>
        <v>#REF!</v>
      </c>
    </row>
    <row r="132" spans="2:6" x14ac:dyDescent="0.2">
      <c r="B132" s="228" t="str">
        <f>IF(Operations!A26="","",Operations!A26)</f>
        <v>Fallow Master</v>
      </c>
      <c r="C132" s="228" t="str">
        <f>IF(Materials!B26="","",Materials!B26)</f>
        <v>Bale Lg Sq 1360 lb</v>
      </c>
      <c r="D132" s="228"/>
      <c r="F132" s="217" t="e">
        <f>IF('General Variables'!#REF!=0,"",'General Variables'!#REF!)</f>
        <v>#REF!</v>
      </c>
    </row>
    <row r="133" spans="2:6" x14ac:dyDescent="0.2">
      <c r="B133" s="228" t="str">
        <f>IF(Operations!A27="","",Operations!A27)</f>
        <v>Field Cultivation</v>
      </c>
      <c r="C133" s="228" t="str">
        <f>IF(Materials!B27="","",Materials!B27)</f>
        <v>Basagran</v>
      </c>
      <c r="D133" s="228"/>
      <c r="F133" s="217" t="e">
        <f>IF('General Variables'!#REF!=0,"",'General Variables'!#REF!)</f>
        <v>#REF!</v>
      </c>
    </row>
    <row r="134" spans="2:6" x14ac:dyDescent="0.2">
      <c r="B134" s="228" t="str">
        <f>IF(Operations!A28="","",Operations!A28)</f>
        <v>Grass Drill</v>
      </c>
      <c r="C134" s="228" t="str">
        <f>IF(Materials!B28="","",Materials!B28)</f>
        <v>Bicep II Magnum</v>
      </c>
      <c r="D134" s="228"/>
    </row>
    <row r="135" spans="2:6" x14ac:dyDescent="0.2">
      <c r="B135" s="228" t="str">
        <f>IF(Operations!A29="","",Operations!A29)</f>
        <v>Harrow</v>
      </c>
      <c r="C135" s="228" t="str">
        <f>IF(Materials!B29="","",Materials!B29)</f>
        <v>Brigade 2EC</v>
      </c>
      <c r="D135" s="228"/>
    </row>
    <row r="136" spans="2:6" x14ac:dyDescent="0.2">
      <c r="B136" s="228" t="str">
        <f>IF(Operations!A30="","",Operations!A30)</f>
        <v>Hoe</v>
      </c>
      <c r="C136" s="228" t="str">
        <f>IF(Materials!B30="","",Materials!B30)</f>
        <v>Buctril 4E</v>
      </c>
      <c r="D136" s="228"/>
    </row>
    <row r="137" spans="2:6" x14ac:dyDescent="0.2">
      <c r="B137" s="228" t="str">
        <f>IF(Operations!A31="","",Operations!A31)</f>
        <v>Lg Rd Bale</v>
      </c>
      <c r="C137" s="228" t="str">
        <f>IF(Materials!B31="","",Materials!B31)</f>
        <v>Capture LFR</v>
      </c>
      <c r="D137" s="228"/>
    </row>
    <row r="138" spans="2:6" x14ac:dyDescent="0.2">
      <c r="B138" s="228" t="str">
        <f>IF(Operations!A32="","",Operations!A32)</f>
        <v>Lg Sq Bale</v>
      </c>
      <c r="C138" s="228" t="str">
        <f>IF(Materials!B32="","",Materials!B32)</f>
        <v>Chop, Haul, Pack</v>
      </c>
      <c r="D138" s="228"/>
    </row>
    <row r="139" spans="2:6" x14ac:dyDescent="0.2">
      <c r="B139" s="228" t="str">
        <f>IF(Operations!A33="","",Operations!A33)</f>
        <v>Lift Beets</v>
      </c>
      <c r="C139" s="228" t="str">
        <f>IF(Materials!B33="","",Materials!B33)</f>
        <v>Copper</v>
      </c>
      <c r="D139" s="228"/>
    </row>
    <row r="140" spans="2:6" x14ac:dyDescent="0.2">
      <c r="B140" s="228" t="str">
        <f>IF(Operations!A34="","",Operations!A34)</f>
        <v>Load Lg Sq</v>
      </c>
      <c r="C140" s="228" t="str">
        <f>IF(Materials!B34="","",Materials!B34)</f>
        <v>Corn</v>
      </c>
      <c r="D140" s="228"/>
    </row>
    <row r="141" spans="2:6" x14ac:dyDescent="0.2">
      <c r="B141" s="228" t="str">
        <f>IF(Operations!A35="","",Operations!A35)</f>
        <v>Move Lg Rd</v>
      </c>
      <c r="C141" s="228" t="str">
        <f>IF(Materials!B35="","",Materials!B35)</f>
        <v>Corn Bt ECB</v>
      </c>
      <c r="D141" s="228"/>
    </row>
    <row r="142" spans="2:6" x14ac:dyDescent="0.2">
      <c r="B142" s="228" t="str">
        <f>IF(Operations!A36="","",Operations!A36)</f>
        <v>No-Till Drill</v>
      </c>
      <c r="C142" s="228" t="str">
        <f>IF(Materials!B36="","",Materials!B36)</f>
        <v>Corn Bt ECB&amp;RW</v>
      </c>
      <c r="D142" s="228"/>
    </row>
    <row r="143" spans="2:6" x14ac:dyDescent="0.2">
      <c r="B143" s="228" t="str">
        <f>IF(Operations!A37="","",Operations!A37)</f>
        <v>Pickett Windrowers</v>
      </c>
      <c r="C143" s="228" t="str">
        <f>IF(Materials!B37="","",Materials!B37)</f>
        <v>Corn Bt, ECB, RW &amp; RR2</v>
      </c>
      <c r="D143" s="228"/>
    </row>
    <row r="144" spans="2:6" x14ac:dyDescent="0.2">
      <c r="B144" s="228" t="str">
        <f>IF(Operations!A38="","",Operations!A38)</f>
        <v>Pipe D125’ Lift</v>
      </c>
      <c r="C144" s="228" t="str">
        <f>IF(Materials!B38="","",Materials!B38)</f>
        <v>Corn ECB &amp; RR2</v>
      </c>
      <c r="D144" s="228"/>
    </row>
    <row r="145" spans="2:4" x14ac:dyDescent="0.2">
      <c r="B145" s="228" t="str">
        <f>IF(Operations!A39="","",Operations!A39)</f>
        <v>PivotD 125’Lift</v>
      </c>
      <c r="C145" s="228" t="str">
        <f>IF(Materials!B39="","",Materials!B39)</f>
        <v>Corn RR2</v>
      </c>
      <c r="D145" s="228"/>
    </row>
    <row r="146" spans="2:4" x14ac:dyDescent="0.2">
      <c r="B146" s="228" t="str">
        <f>IF(Operations!A40="","",Operations!A40)</f>
        <v>PivotD 125’Lift w/fertigation</v>
      </c>
      <c r="C146" s="228" t="str">
        <f>IF(Materials!B40="","",Materials!B40)</f>
        <v xml:space="preserve">Corn SmartStax RIB Complete </v>
      </c>
      <c r="D146" s="228"/>
    </row>
    <row r="147" spans="2:4" x14ac:dyDescent="0.2">
      <c r="B147" s="228" t="str">
        <f>IF(Operations!A41="","",Operations!A41)</f>
        <v>PivotE 125’Lift</v>
      </c>
      <c r="C147" s="228" t="str">
        <f>IF(Materials!B41="","",Materials!B41)</f>
        <v>Cover Crop</v>
      </c>
      <c r="D147" s="228"/>
    </row>
    <row r="148" spans="2:4" x14ac:dyDescent="0.2">
      <c r="B148" s="228" t="str">
        <f>IF(Operations!A42="","",Operations!A42)</f>
        <v>PivotE 125’Lift w/fertigation</v>
      </c>
      <c r="C148" s="228" t="str">
        <f>IF(Materials!B42="","",Materials!B42)</f>
        <v>Cover Crop Legume</v>
      </c>
      <c r="D148" s="228"/>
    </row>
    <row r="149" spans="2:4" x14ac:dyDescent="0.2">
      <c r="B149" s="228" t="str">
        <f>IF(Operations!A43="","",Operations!A43)</f>
        <v>Plant</v>
      </c>
      <c r="C149" s="228" t="str">
        <f>IF(Materials!B43="","",Materials!B43)</f>
        <v>Crop Oil Concentrate</v>
      </c>
      <c r="D149" s="228"/>
    </row>
    <row r="150" spans="2:4" x14ac:dyDescent="0.2">
      <c r="B150" s="228" t="str">
        <f>IF(Operations!A44="","",Operations!A44)</f>
        <v>Plant Narrow Row</v>
      </c>
      <c r="C150" s="228" t="str">
        <f>IF(Materials!B44="","",Materials!B44)</f>
        <v>Dicamba</v>
      </c>
      <c r="D150" s="228"/>
    </row>
    <row r="151" spans="2:4" x14ac:dyDescent="0.2">
      <c r="B151" s="228" t="str">
        <f>IF(Operations!A45="","",Operations!A45)</f>
        <v>Plant No-Till</v>
      </c>
      <c r="C151" s="228" t="str">
        <f>IF(Materials!B45="","",Materials!B45)</f>
        <v>Distinct</v>
      </c>
      <c r="D151" s="228"/>
    </row>
    <row r="152" spans="2:4" x14ac:dyDescent="0.2">
      <c r="B152" s="228" t="str">
        <f>IF(Operations!A46="","",Operations!A46)</f>
        <v>Plow</v>
      </c>
      <c r="C152" s="228" t="str">
        <f>IF(Materials!B46="","",Materials!B46)</f>
        <v>Dry 2 Points Removed</v>
      </c>
      <c r="D152" s="228"/>
    </row>
    <row r="153" spans="2:4" x14ac:dyDescent="0.2">
      <c r="B153" s="228" t="str">
        <f>IF(Operations!A47="","",Operations!A47)</f>
        <v>Ridge Cultivate/Ditch</v>
      </c>
      <c r="C153" s="228" t="str">
        <f>IF(Materials!B47="","",Materials!B47)</f>
        <v>Edible Beans</v>
      </c>
      <c r="D153" s="228"/>
    </row>
    <row r="154" spans="2:4" x14ac:dyDescent="0.2">
      <c r="B154" s="228" t="str">
        <f>IF(Operations!A48="","",Operations!A48)</f>
        <v>Ridge Cultivation</v>
      </c>
      <c r="C154" s="228" t="str">
        <f>IF(Materials!B48="","",Materials!B48)</f>
        <v>Electricity Fixed</v>
      </c>
      <c r="D154" s="228"/>
    </row>
    <row r="155" spans="2:4" x14ac:dyDescent="0.2">
      <c r="B155" s="228" t="str">
        <f>IF(Operations!A49="","",Operations!A49)</f>
        <v>Ridge Plant</v>
      </c>
      <c r="C155" s="228" t="str">
        <f>IF(Materials!B49="","",Materials!B49)</f>
        <v>Electricity Usage</v>
      </c>
      <c r="D155" s="228"/>
    </row>
    <row r="156" spans="2:4" x14ac:dyDescent="0.2">
      <c r="B156" s="228" t="str">
        <f>IF(Operations!A50="","",Operations!A50)</f>
        <v>Ridge plant and band herb.</v>
      </c>
      <c r="C156" s="228" t="str">
        <f>IF(Materials!B50="","",Materials!B50)</f>
        <v>Expert</v>
      </c>
      <c r="D156" s="228"/>
    </row>
    <row r="157" spans="2:4" x14ac:dyDescent="0.2">
      <c r="B157" s="228" t="str">
        <f>IF(Operations!A51="","",Operations!A51)</f>
        <v>Rod Weeder</v>
      </c>
      <c r="C157" s="228" t="str">
        <f>IF(Materials!B51="","",Materials!B51)</f>
        <v>Fence/water repairs</v>
      </c>
      <c r="D157" s="228"/>
    </row>
    <row r="158" spans="2:4" x14ac:dyDescent="0.2">
      <c r="B158" s="228" t="str">
        <f>IF(Operations!A52="","",Operations!A52)</f>
        <v>Rod Weeder &amp; Fertilizer</v>
      </c>
      <c r="C158" s="228" t="str">
        <f>IF(Materials!B52="","",Materials!B52)</f>
        <v>Glyphosate w/Surf</v>
      </c>
      <c r="D158" s="228"/>
    </row>
    <row r="159" spans="2:4" x14ac:dyDescent="0.2">
      <c r="B159" s="228" t="str">
        <f>IF(Operations!A53="","",Operations!A53)</f>
        <v>Roll</v>
      </c>
      <c r="C159" s="228" t="str">
        <f>IF(Materials!B53="","",Materials!B53)</f>
        <v>Gramoxone SL</v>
      </c>
      <c r="D159" s="228"/>
    </row>
    <row r="160" spans="2:4" x14ac:dyDescent="0.2">
      <c r="B160" s="228" t="str">
        <f>IF(Operations!A54="","",Operations!A54)</f>
        <v>Roller Harrow</v>
      </c>
      <c r="C160" s="228" t="str">
        <f>IF(Materials!B54="","",Materials!B54)</f>
        <v>Grass Drill</v>
      </c>
      <c r="D160" s="228"/>
    </row>
    <row r="161" spans="2:4" x14ac:dyDescent="0.2">
      <c r="B161" s="228" t="str">
        <f>IF(Operations!A55="","",Operations!A55)</f>
        <v>Row Crop Cultivation</v>
      </c>
      <c r="C161" s="228" t="str">
        <f>IF(Materials!B55="","",Materials!B55)</f>
        <v>Grass Seed</v>
      </c>
      <c r="D161" s="228"/>
    </row>
    <row r="162" spans="2:4" x14ac:dyDescent="0.2">
      <c r="B162" s="228" t="str">
        <f>IF(Operations!A56="","",Operations!A56)</f>
        <v>Seeder/Packer</v>
      </c>
      <c r="C162" s="228" t="str">
        <f>IF(Materials!B56="","",Materials!B56)</f>
        <v>Haul &amp; Apply Manure</v>
      </c>
      <c r="D162" s="228"/>
    </row>
    <row r="163" spans="2:4" x14ac:dyDescent="0.2">
      <c r="B163" s="228" t="str">
        <f>IF(Operations!A57="","",Operations!A57)</f>
        <v>Spray</v>
      </c>
      <c r="C163" s="228" t="str">
        <f>IF(Materials!B57="","",Materials!B57)</f>
        <v>Haul Beets</v>
      </c>
      <c r="D163" s="228"/>
    </row>
    <row r="164" spans="2:4" x14ac:dyDescent="0.2">
      <c r="B164" s="228" t="str">
        <f>IF(Operations!A58="","",Operations!A58)</f>
        <v>Spray (on Disk)</v>
      </c>
      <c r="C164" s="228" t="str">
        <f>IF(Materials!B58="","",Materials!B58)</f>
        <v>Haul Grain (Dry Beans)</v>
      </c>
      <c r="D164" s="228"/>
    </row>
    <row r="165" spans="2:4" x14ac:dyDescent="0.2">
      <c r="B165" s="228" t="str">
        <f>IF(Operations!A59="","",Operations!A59)</f>
        <v>Spray (on Field Cultivator)</v>
      </c>
      <c r="C165" s="228" t="str">
        <f>IF(Materials!B59="","",Materials!B59)</f>
        <v>Haul Grain (Millet)</v>
      </c>
      <c r="D165" s="228"/>
    </row>
    <row r="166" spans="2:4" x14ac:dyDescent="0.2">
      <c r="B166" s="228" t="str">
        <f>IF(Operations!A60="","",Operations!A60)</f>
        <v>Spray (Prior Year Stubble)</v>
      </c>
      <c r="C166" s="228" t="str">
        <f>IF(Materials!B60="","",Materials!B60)</f>
        <v>Haul Grain (Sunflower)</v>
      </c>
      <c r="D166" s="228"/>
    </row>
    <row r="167" spans="2:4" x14ac:dyDescent="0.2">
      <c r="B167" s="228" t="str">
        <f>IF(Operations!A61="","",Operations!A61)</f>
        <v>Spray Fertilizer</v>
      </c>
      <c r="C167" s="228" t="str">
        <f>IF(Materials!B61="","",Materials!B61)</f>
        <v>Haul Grain bu</v>
      </c>
      <c r="D167" s="228"/>
    </row>
    <row r="168" spans="2:4" x14ac:dyDescent="0.2">
      <c r="B168" s="228" t="str">
        <f>IF(Operations!A62="","",Operations!A62)</f>
        <v>Spray fertilizer and herbicide</v>
      </c>
      <c r="C168" s="228" t="str">
        <f>IF(Materials!B62="","",Materials!B62)</f>
        <v>Headline AMP</v>
      </c>
      <c r="D168" s="228"/>
    </row>
    <row r="169" spans="2:4" x14ac:dyDescent="0.2">
      <c r="B169" s="228" t="str">
        <f>IF(Operations!A63="","",Operations!A63)</f>
        <v>Spread manure</v>
      </c>
      <c r="C169" s="228" t="str">
        <f>IF(Materials!B63="","",Materials!B63)</f>
        <v>Huskie</v>
      </c>
      <c r="D169" s="228"/>
    </row>
    <row r="170" spans="2:4" x14ac:dyDescent="0.2">
      <c r="B170" s="228" t="str">
        <f>IF(Operations!A64="","",Operations!A64)</f>
        <v>Spread, Fertilizer</v>
      </c>
      <c r="C170" s="228" t="str">
        <f>IF(Materials!B64="","",Materials!B64)</f>
        <v>Irrigation District O&amp;M Charge</v>
      </c>
      <c r="D170" s="228"/>
    </row>
    <row r="171" spans="2:4" x14ac:dyDescent="0.2">
      <c r="B171" s="228" t="str">
        <f>IF(Operations!A65="","",Operations!A65)</f>
        <v>Sm Sq Bale</v>
      </c>
      <c r="C171" s="228" t="str">
        <f>IF(Materials!B65="","",Materials!B65)</f>
        <v>Landmaster BW</v>
      </c>
      <c r="D171" s="228"/>
    </row>
    <row r="172" spans="2:4" x14ac:dyDescent="0.2">
      <c r="B172" s="228" t="str">
        <f>IF(Operations!A66="","",Operations!A66)</f>
        <v>Stack Sm Sq</v>
      </c>
      <c r="C172" s="228" t="str">
        <f>IF(Materials!B66="","",Materials!B66)</f>
        <v>Laudis</v>
      </c>
      <c r="D172" s="228"/>
    </row>
    <row r="173" spans="2:4" x14ac:dyDescent="0.2">
      <c r="B173" s="228" t="str">
        <f>IF(Operations!A67="","",Operations!A67)</f>
        <v>Subsoil</v>
      </c>
      <c r="C173" s="228" t="str">
        <f>IF(Materials!B67="","",Materials!B67)</f>
        <v>Load Large Square Bales</v>
      </c>
      <c r="D173" s="228"/>
    </row>
    <row r="174" spans="2:4" x14ac:dyDescent="0.2">
      <c r="B174" s="228" t="str">
        <f>IF(Operations!A68="","",Operations!A68)</f>
        <v>Till Plant Beets</v>
      </c>
      <c r="C174" s="228" t="str">
        <f>IF(Materials!B68="","",Materials!B68)</f>
        <v>Lorsban 15 G</v>
      </c>
      <c r="D174" s="228"/>
    </row>
    <row r="175" spans="2:4" x14ac:dyDescent="0.2">
      <c r="B175" s="228" t="str">
        <f>IF(Operations!A69="","",Operations!A69)</f>
        <v>Top Beets</v>
      </c>
      <c r="C175" s="228" t="str">
        <f>IF(Materials!B69="","",Materials!B69)</f>
        <v>Lorsban 4 E</v>
      </c>
      <c r="D175" s="228"/>
    </row>
    <row r="176" spans="2:4" x14ac:dyDescent="0.2">
      <c r="B176" s="228" t="str">
        <f>IF(Operations!A70="","",Operations!A70)</f>
        <v>Truck</v>
      </c>
      <c r="C176" s="228" t="str">
        <f>IF(Materials!B70="","",Materials!B70)</f>
        <v>Lumax EZ</v>
      </c>
      <c r="D176" s="228"/>
    </row>
    <row r="177" spans="2:4" x14ac:dyDescent="0.2">
      <c r="B177" s="228" t="str">
        <f>IF(Operations!A71="","",Operations!A71)</f>
        <v>Turn Windrows</v>
      </c>
      <c r="C177" s="228" t="str">
        <f>IF(Materials!B71="","",Materials!B71)</f>
        <v>Millet</v>
      </c>
      <c r="D177" s="228"/>
    </row>
    <row r="178" spans="2:4" x14ac:dyDescent="0.2">
      <c r="B178" s="228" t="str">
        <f>IF(Operations!A72="","",Operations!A72)</f>
        <v>Swath/Cond Hay</v>
      </c>
      <c r="C178" s="228" t="str">
        <f>IF(Materials!B72="","",Materials!B72)</f>
        <v>Move Cattle</v>
      </c>
      <c r="D178" s="228"/>
    </row>
    <row r="179" spans="2:4" x14ac:dyDescent="0.2">
      <c r="B179" s="228" t="str">
        <f>IF(Operations!A73="","",Operations!A73)</f>
        <v>Windrow Grain</v>
      </c>
      <c r="C179" s="228" t="str">
        <f>IF(Materials!B73="","",Materials!B73)</f>
        <v>Mustang Max EC</v>
      </c>
      <c r="D179" s="228"/>
    </row>
    <row r="180" spans="2:4" x14ac:dyDescent="0.2">
      <c r="B180" s="228" t="str">
        <f>IF(Operations!A74="","",Operations!A74)</f>
        <v/>
      </c>
      <c r="C180" s="228" t="str">
        <f>IF(Materials!B74="","",Materials!B74)</f>
        <v>NIS</v>
      </c>
      <c r="D180" s="228"/>
    </row>
    <row r="181" spans="2:4" x14ac:dyDescent="0.2">
      <c r="B181" s="228" t="str">
        <f>IF(Operations!A75="","",Operations!A75)</f>
        <v/>
      </c>
      <c r="C181" s="228" t="str">
        <f>IF(Materials!B75="","",Materials!B75)</f>
        <v>Oats</v>
      </c>
      <c r="D181" s="228"/>
    </row>
    <row r="182" spans="2:4" x14ac:dyDescent="0.2">
      <c r="B182" s="228" t="str">
        <f>IF(Operations!A76="","",Operations!A76)</f>
        <v/>
      </c>
      <c r="C182" s="228" t="str">
        <f>IF(Materials!B76="","",Materials!B76)</f>
        <v>Outlook</v>
      </c>
      <c r="D182" s="228"/>
    </row>
    <row r="183" spans="2:4" x14ac:dyDescent="0.2">
      <c r="B183" s="228" t="str">
        <f>IF(Operations!A77="","",Operations!A77)</f>
        <v/>
      </c>
      <c r="C183" s="228" t="str">
        <f>IF(Materials!B77="","",Materials!B77)</f>
        <v>Pea Seed Innoculent</v>
      </c>
      <c r="D183" s="228"/>
    </row>
    <row r="184" spans="2:4" x14ac:dyDescent="0.2">
      <c r="B184" s="228" t="str">
        <f>IF(Operations!A78="","",Operations!A78)</f>
        <v/>
      </c>
      <c r="C184" s="228" t="str">
        <f>IF(Materials!B78="","",Materials!B78)</f>
        <v>Peak</v>
      </c>
      <c r="D184" s="228"/>
    </row>
    <row r="185" spans="2:4" x14ac:dyDescent="0.2">
      <c r="B185" s="228" t="str">
        <f>IF(Operations!A79="","",Operations!A79)</f>
        <v/>
      </c>
      <c r="C185" s="228" t="str">
        <f>IF(Materials!B79="","",Materials!B79)</f>
        <v>Peas</v>
      </c>
      <c r="D185" s="228"/>
    </row>
    <row r="186" spans="2:4" x14ac:dyDescent="0.2">
      <c r="B186" s="228" t="str">
        <f>IF(Operations!A80="","",Operations!A80)</f>
        <v/>
      </c>
      <c r="C186" s="228" t="str">
        <f>IF(Materials!B80="","",Materials!B80)</f>
        <v>Priaxor</v>
      </c>
      <c r="D186" s="228"/>
    </row>
    <row r="187" spans="2:4" x14ac:dyDescent="0.2">
      <c r="B187" s="228" t="str">
        <f>IF(Operations!A81="","",Operations!A81)</f>
        <v/>
      </c>
      <c r="C187" s="228" t="str">
        <f>IF(Materials!B81="","",Materials!B81)</f>
        <v>Prowl H2O</v>
      </c>
      <c r="D187" s="228"/>
    </row>
    <row r="188" spans="2:4" x14ac:dyDescent="0.2">
      <c r="B188" s="228" t="str">
        <f>IF(Operations!A82="","",Operations!A82)</f>
        <v/>
      </c>
      <c r="C188" s="228" t="str">
        <f>IF(Materials!B82="","",Materials!B82)</f>
        <v xml:space="preserve">Pursuit </v>
      </c>
      <c r="D188" s="228"/>
    </row>
    <row r="189" spans="2:4" x14ac:dyDescent="0.2">
      <c r="B189" s="228" t="str">
        <f>IF(Operations!A83="","",Operations!A83)</f>
        <v/>
      </c>
      <c r="C189" s="228" t="str">
        <f>IF(Materials!B83="","",Materials!B83)</f>
        <v>Quadris</v>
      </c>
      <c r="D189" s="228"/>
    </row>
    <row r="190" spans="2:4" x14ac:dyDescent="0.2">
      <c r="B190" s="228" t="str">
        <f>IF(Operations!A84="","",Operations!A84)</f>
        <v/>
      </c>
      <c r="C190" s="228" t="str">
        <f>IF(Materials!B84="","",Materials!B84)</f>
        <v>Quilt Xcel</v>
      </c>
      <c r="D190" s="228"/>
    </row>
    <row r="191" spans="2:4" x14ac:dyDescent="0.2">
      <c r="B191" s="228" t="str">
        <f>IF(Operations!A85="","",Operations!A85)</f>
        <v/>
      </c>
      <c r="C191" s="228" t="str">
        <f>IF(Materials!B85="","",Materials!B85)</f>
        <v>Raptor</v>
      </c>
      <c r="D191" s="228"/>
    </row>
    <row r="192" spans="2:4" x14ac:dyDescent="0.2">
      <c r="B192" s="228" t="str">
        <f>IF(Operations!A86="","",Operations!A86)</f>
        <v/>
      </c>
      <c r="C192" s="228" t="str">
        <f>IF(Materials!B86="","",Materials!B86)</f>
        <v>Regent 4 SC</v>
      </c>
      <c r="D192" s="228"/>
    </row>
    <row r="193" spans="2:4" x14ac:dyDescent="0.2">
      <c r="B193" s="228" t="str">
        <f>IF(Operations!A87="","",Operations!A87)</f>
        <v/>
      </c>
      <c r="C193" s="228" t="str">
        <f>IF(Materials!B87="","",Materials!B87)</f>
        <v>Roundup WeatherMax</v>
      </c>
      <c r="D193" s="228"/>
    </row>
    <row r="194" spans="2:4" x14ac:dyDescent="0.2">
      <c r="B194" s="228" t="str">
        <f>IF(Operations!A88="","",Operations!A88)</f>
        <v/>
      </c>
      <c r="C194" s="228" t="str">
        <f>IF(Materials!B88="","",Materials!B88)</f>
        <v>RR Soybeans</v>
      </c>
      <c r="D194" s="228"/>
    </row>
    <row r="195" spans="2:4" x14ac:dyDescent="0.2">
      <c r="B195" s="228" t="str">
        <f>IF(Operations!A89="","",Operations!A89)</f>
        <v/>
      </c>
      <c r="C195" s="228" t="str">
        <f>IF(Materials!B89="","",Materials!B89)</f>
        <v>RR Soybeans Treated</v>
      </c>
      <c r="D195" s="228"/>
    </row>
    <row r="196" spans="2:4" x14ac:dyDescent="0.2">
      <c r="B196" s="228" t="str">
        <f>IF(Operations!A90="","",Operations!A90)</f>
        <v/>
      </c>
      <c r="C196" s="228" t="str">
        <f>IF(Materials!B90="","",Materials!B90)</f>
        <v>RR2 Soybeans</v>
      </c>
      <c r="D196" s="228"/>
    </row>
    <row r="197" spans="2:4" x14ac:dyDescent="0.2">
      <c r="B197" s="228" t="str">
        <f>IF(Operations!A91="","",Operations!A91)</f>
        <v/>
      </c>
      <c r="C197" s="228" t="str">
        <f>IF(Materials!B91="","",Materials!B91)</f>
        <v>RR2 Soybeans Treated</v>
      </c>
      <c r="D197" s="228"/>
    </row>
    <row r="198" spans="2:4" x14ac:dyDescent="0.2">
      <c r="B198" s="228" t="str">
        <f>IF(Operations!A92="","",Operations!A92)</f>
        <v/>
      </c>
      <c r="C198" s="228" t="str">
        <f>IF(Materials!B92="","",Materials!B92)</f>
        <v>Rugged</v>
      </c>
      <c r="D198" s="228"/>
    </row>
    <row r="199" spans="2:4" x14ac:dyDescent="0.2">
      <c r="B199" s="228" t="str">
        <f>IF(Operations!A93="","",Operations!A93)</f>
        <v/>
      </c>
      <c r="C199" s="228" t="str">
        <f>IF(Materials!B93="","",Materials!B93)</f>
        <v>Scouting Drybeans</v>
      </c>
      <c r="D199" s="228"/>
    </row>
    <row r="200" spans="2:4" x14ac:dyDescent="0.2">
      <c r="B200" s="228" t="str">
        <f>IF(Operations!A94="","",Operations!A94)</f>
        <v/>
      </c>
      <c r="C200" s="228" t="str">
        <f>IF(Materials!B94="","",Materials!B94)</f>
        <v>Scouting Dryland Corn</v>
      </c>
      <c r="D200" s="228"/>
    </row>
    <row r="201" spans="2:4" x14ac:dyDescent="0.2">
      <c r="B201" s="228" t="str">
        <f>IF(Operations!A95="","",Operations!A95)</f>
        <v/>
      </c>
      <c r="C201" s="228" t="str">
        <f>IF(Materials!B95="","",Materials!B95)</f>
        <v>Scouting Dryland Soybeans</v>
      </c>
      <c r="D201" s="228"/>
    </row>
    <row r="202" spans="2:4" x14ac:dyDescent="0.2">
      <c r="B202" s="228" t="str">
        <f>IF(Operations!A96="","",Operations!A96)</f>
        <v/>
      </c>
      <c r="C202" s="228" t="str">
        <f>IF(Materials!B96="","",Materials!B96)</f>
        <v>Scouting Grain Sorghum</v>
      </c>
      <c r="D202" s="228"/>
    </row>
    <row r="203" spans="2:4" x14ac:dyDescent="0.2">
      <c r="B203" s="228" t="str">
        <f>IF(Operations!A97="","",Operations!A97)</f>
        <v/>
      </c>
      <c r="C203" s="228" t="str">
        <f>IF(Materials!B97="","",Materials!B97)</f>
        <v>Scouting Irrigated Corn</v>
      </c>
      <c r="D203" s="228"/>
    </row>
    <row r="204" spans="2:4" x14ac:dyDescent="0.2">
      <c r="B204" s="228" t="str">
        <f>IF(Operations!A98="","",Operations!A98)</f>
        <v/>
      </c>
      <c r="C204" s="228" t="str">
        <f>IF(Materials!B98="","",Materials!B98)</f>
        <v>Scouting Irrigated SB</v>
      </c>
      <c r="D204" s="228"/>
    </row>
    <row r="205" spans="2:4" x14ac:dyDescent="0.2">
      <c r="B205" s="228" t="str">
        <f>IF(Operations!A99="","",Operations!A99)</f>
        <v/>
      </c>
      <c r="C205" s="228" t="str">
        <f>IF(Materials!B99="","",Materials!B99)</f>
        <v>Scouting Sugar Beets</v>
      </c>
      <c r="D205" s="228"/>
    </row>
    <row r="206" spans="2:4" x14ac:dyDescent="0.2">
      <c r="B206" s="228" t="str">
        <f>IF(Operations!A100="","",Operations!A100)</f>
        <v/>
      </c>
      <c r="C206" s="228" t="str">
        <f>IF(Materials!B100="","",Materials!B100)</f>
        <v>Scouting Wheat</v>
      </c>
      <c r="D206" s="228"/>
    </row>
    <row r="207" spans="2:4" x14ac:dyDescent="0.2">
      <c r="B207" s="228" t="str">
        <f>IF(Operations!A101="","",Operations!A101)</f>
        <v/>
      </c>
      <c r="C207" s="228" t="str">
        <f>IF(Materials!B101="","",Materials!B101)</f>
        <v>Seeder-Packer</v>
      </c>
      <c r="D207" s="228"/>
    </row>
    <row r="208" spans="2:4" x14ac:dyDescent="0.2">
      <c r="C208" s="228" t="str">
        <f>IF(Materials!B102="","",Materials!B102)</f>
        <v>Select Max</v>
      </c>
      <c r="D208" s="228"/>
    </row>
    <row r="209" spans="3:4" x14ac:dyDescent="0.2">
      <c r="C209" s="228" t="str">
        <f>IF(Materials!B103="","",Materials!B103)</f>
        <v>Sharpen</v>
      </c>
      <c r="D209" s="228"/>
    </row>
    <row r="210" spans="3:4" x14ac:dyDescent="0.2">
      <c r="C210" s="228" t="str">
        <f>IF(Materials!B104="","",Materials!B104)</f>
        <v>Sorghum Safened/Insect</v>
      </c>
      <c r="D210" s="228"/>
    </row>
    <row r="211" spans="3:4" x14ac:dyDescent="0.2">
      <c r="C211" s="228" t="str">
        <f>IF(Materials!B105="","",Materials!B105)</f>
        <v>Sorghum Sudan</v>
      </c>
      <c r="D211" s="228"/>
    </row>
    <row r="212" spans="3:4" x14ac:dyDescent="0.2">
      <c r="C212" s="228" t="str">
        <f>IF(Materials!B106="","",Materials!B106)</f>
        <v>Spartan 4F</v>
      </c>
      <c r="D212" s="228"/>
    </row>
    <row r="213" spans="3:4" x14ac:dyDescent="0.2">
      <c r="C213" s="228" t="str">
        <f>IF(Materials!B107="","",Materials!B107)</f>
        <v>Spirit</v>
      </c>
      <c r="D213" s="228"/>
    </row>
    <row r="214" spans="3:4" x14ac:dyDescent="0.2">
      <c r="C214" s="228" t="str">
        <f>IF(Materials!B108="","",Materials!B108)</f>
        <v>Spray</v>
      </c>
      <c r="D214" s="228"/>
    </row>
    <row r="215" spans="3:4" x14ac:dyDescent="0.2">
      <c r="C215" s="228" t="str">
        <f>IF(Materials!B109="","",Materials!B109)</f>
        <v>Status</v>
      </c>
      <c r="D215" s="228"/>
    </row>
    <row r="216" spans="3:4" x14ac:dyDescent="0.2">
      <c r="C216" s="228" t="str">
        <f>IF(Materials!B110="","",Materials!B110)</f>
        <v>Stratego YLD</v>
      </c>
      <c r="D216" s="228"/>
    </row>
    <row r="217" spans="3:4" x14ac:dyDescent="0.2">
      <c r="C217" s="228" t="str">
        <f>IF(Materials!B111="","",Materials!B111)</f>
        <v>Sugar Beets RR Poncho</v>
      </c>
      <c r="D217" s="228"/>
    </row>
    <row r="218" spans="3:4" x14ac:dyDescent="0.2">
      <c r="C218" s="228" t="str">
        <f>IF(Materials!B112="","",Materials!B112)</f>
        <v>Sunflower</v>
      </c>
      <c r="D218" s="228"/>
    </row>
    <row r="219" spans="3:4" x14ac:dyDescent="0.2">
      <c r="C219" s="228" t="str">
        <f>IF(Materials!B113="","",Materials!B113)</f>
        <v>Tilt</v>
      </c>
      <c r="D219" s="228"/>
    </row>
    <row r="220" spans="3:4" x14ac:dyDescent="0.2">
      <c r="C220" s="228" t="str">
        <f>IF(Materials!B114="","",Materials!B114)</f>
        <v>Twine Lg Rd</v>
      </c>
      <c r="D220" s="228"/>
    </row>
    <row r="221" spans="3:4" x14ac:dyDescent="0.2">
      <c r="C221" s="228" t="str">
        <f>IF(Materials!B115="","",Materials!B115)</f>
        <v>Twine Lg Sq</v>
      </c>
      <c r="D221" s="228"/>
    </row>
    <row r="222" spans="3:4" x14ac:dyDescent="0.2">
      <c r="C222" s="228" t="str">
        <f>IF(Materials!B116="","",Materials!B116)</f>
        <v>Twine Sm Sq</v>
      </c>
      <c r="D222" s="228"/>
    </row>
    <row r="223" spans="3:4" x14ac:dyDescent="0.2">
      <c r="C223" s="228" t="str">
        <f>IF(Materials!B117="","",Materials!B117)</f>
        <v>Uncomposted manure</v>
      </c>
      <c r="D223" s="228"/>
    </row>
    <row r="224" spans="3:4" x14ac:dyDescent="0.2">
      <c r="C224" s="228" t="str">
        <f>IF(Materials!B119="","",Materials!B119)</f>
        <v>Velpar 75DF</v>
      </c>
      <c r="D224" s="228"/>
    </row>
    <row r="225" spans="3:4" x14ac:dyDescent="0.2">
      <c r="C225" s="228" t="str">
        <f>IF(Materials!B120="","",Materials!B120)</f>
        <v>Vida</v>
      </c>
      <c r="D225" s="228"/>
    </row>
    <row r="226" spans="3:4" x14ac:dyDescent="0.2">
      <c r="C226" s="228" t="str">
        <f>IF(Materials!B121="","",Materials!B121)</f>
        <v>Warrior II/Zeon</v>
      </c>
      <c r="D226" s="228"/>
    </row>
  </sheetData>
  <mergeCells count="43">
    <mergeCell ref="L33:L34"/>
    <mergeCell ref="C35:E35"/>
    <mergeCell ref="A5:L5"/>
    <mergeCell ref="B8:B9"/>
    <mergeCell ref="C8:C9"/>
    <mergeCell ref="E8:E9"/>
    <mergeCell ref="F8:F9"/>
    <mergeCell ref="G8:H8"/>
    <mergeCell ref="I8:J8"/>
    <mergeCell ref="K8:K9"/>
    <mergeCell ref="L8:L9"/>
    <mergeCell ref="C41:E41"/>
    <mergeCell ref="F33:F34"/>
    <mergeCell ref="G33:G34"/>
    <mergeCell ref="H33:I33"/>
    <mergeCell ref="J33:J34"/>
    <mergeCell ref="C36:E36"/>
    <mergeCell ref="C37:E37"/>
    <mergeCell ref="C38:E38"/>
    <mergeCell ref="C39:E39"/>
    <mergeCell ref="C40:E40"/>
    <mergeCell ref="C53:E53"/>
    <mergeCell ref="C42:E42"/>
    <mergeCell ref="C43:E43"/>
    <mergeCell ref="C44:E44"/>
    <mergeCell ref="C45:E45"/>
    <mergeCell ref="C46:E46"/>
    <mergeCell ref="C47:E47"/>
    <mergeCell ref="C48:E48"/>
    <mergeCell ref="C49:E49"/>
    <mergeCell ref="C50:E50"/>
    <mergeCell ref="C51:E51"/>
    <mergeCell ref="C52:E52"/>
    <mergeCell ref="F64:G64"/>
    <mergeCell ref="C68:E68"/>
    <mergeCell ref="G68:H68"/>
    <mergeCell ref="G69:H69"/>
    <mergeCell ref="C54:E54"/>
    <mergeCell ref="C55:E55"/>
    <mergeCell ref="C56:E56"/>
    <mergeCell ref="C57:E57"/>
    <mergeCell ref="C58:E58"/>
    <mergeCell ref="C59:E59"/>
  </mergeCells>
  <dataValidations count="7">
    <dataValidation type="list" allowBlank="1" showInputMessage="1" showErrorMessage="1" sqref="K6">
      <formula1>$K$108:$K$110</formula1>
    </dataValidation>
    <dataValidation type="list" allowBlank="1" showInputMessage="1" showErrorMessage="1" sqref="B59">
      <formula1>$H$108:$H$123</formula1>
    </dataValidation>
    <dataValidation type="list" allowBlank="1" showInputMessage="1" showErrorMessage="1" sqref="B10:B29">
      <formula1>$B$108:$B$206</formula1>
    </dataValidation>
    <dataValidation type="list" allowBlank="1" showInputMessage="1" showErrorMessage="1" sqref="D10:D30">
      <formula1>$O$2:$O$4</formula1>
    </dataValidation>
    <dataValidation type="list" allowBlank="1" showInputMessage="1" showErrorMessage="1" sqref="C68:E68">
      <formula1>$F$108:$F$155</formula1>
    </dataValidation>
    <dataValidation type="list" allowBlank="1" showInputMessage="1" showErrorMessage="1" sqref="B30">
      <formula1>$B$108:$B$205</formula1>
    </dataValidation>
    <dataValidation type="list" allowBlank="1" showInputMessage="1" showErrorMessage="1" sqref="B35:B58 B60">
      <formula1>$C$108:$C$226</formula1>
    </dataValidation>
  </dataValidations>
  <pageMargins left="0.7" right="0.7" top="0.75" bottom="0.75" header="0.3" footer="0.3"/>
  <pageSetup scale="7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05"/>
  <dimension ref="A1:J126"/>
  <sheetViews>
    <sheetView workbookViewId="0">
      <selection sqref="A1:I1"/>
    </sheetView>
  </sheetViews>
  <sheetFormatPr defaultRowHeight="12.75" x14ac:dyDescent="0.2"/>
  <cols>
    <col min="1" max="1" width="9.140625" style="161"/>
    <col min="2" max="2" width="26.85546875" style="161" customWidth="1"/>
    <col min="3" max="3" width="13.85546875" style="161" customWidth="1"/>
    <col min="4" max="4" width="9.5703125" style="161" customWidth="1"/>
    <col min="5" max="5" width="9.28515625" style="161" customWidth="1"/>
    <col min="6" max="6" width="13.28515625" style="161" customWidth="1"/>
    <col min="7" max="7" width="16" style="162" customWidth="1"/>
    <col min="8" max="8" width="9.42578125" style="161" customWidth="1"/>
    <col min="9" max="16384" width="9.140625" style="161"/>
  </cols>
  <sheetData>
    <row r="1" spans="1:10" s="160" customFormat="1" ht="26.25" customHeight="1" x14ac:dyDescent="0.2">
      <c r="A1" s="158" t="s">
        <v>467</v>
      </c>
      <c r="B1" s="159" t="s">
        <v>4</v>
      </c>
      <c r="C1" s="159" t="s">
        <v>5</v>
      </c>
      <c r="D1" s="159" t="s">
        <v>66</v>
      </c>
      <c r="E1" s="159" t="s">
        <v>67</v>
      </c>
      <c r="F1" s="159" t="s">
        <v>68</v>
      </c>
      <c r="G1" s="159" t="s">
        <v>70</v>
      </c>
      <c r="H1" s="159" t="s">
        <v>69</v>
      </c>
    </row>
    <row r="2" spans="1:10" ht="12.75" customHeight="1" x14ac:dyDescent="0.2">
      <c r="A2" s="161">
        <v>1</v>
      </c>
      <c r="B2" s="188" t="s">
        <v>6</v>
      </c>
      <c r="C2" s="167" t="s">
        <v>7</v>
      </c>
      <c r="D2" s="168">
        <v>3.3</v>
      </c>
      <c r="E2" s="169" t="s">
        <v>439</v>
      </c>
      <c r="F2" s="167" t="s">
        <v>439</v>
      </c>
      <c r="G2" s="166">
        <v>1</v>
      </c>
      <c r="H2" s="163">
        <f t="shared" ref="H2:H33" si="0">IF(G2=0,0,D2/G2)</f>
        <v>3.3</v>
      </c>
    </row>
    <row r="3" spans="1:10" ht="12.75" customHeight="1" x14ac:dyDescent="0.2">
      <c r="A3" s="161">
        <v>2</v>
      </c>
      <c r="B3" s="180" t="s">
        <v>8</v>
      </c>
      <c r="C3" s="181" t="s">
        <v>7</v>
      </c>
      <c r="D3" s="182">
        <v>3.35</v>
      </c>
      <c r="E3" s="183" t="s">
        <v>439</v>
      </c>
      <c r="F3" s="181" t="s">
        <v>439</v>
      </c>
      <c r="G3" s="179">
        <v>1</v>
      </c>
      <c r="H3" s="163">
        <f t="shared" si="0"/>
        <v>3.35</v>
      </c>
      <c r="J3" s="164"/>
    </row>
    <row r="4" spans="1:10" ht="12.75" customHeight="1" x14ac:dyDescent="0.2">
      <c r="A4" s="161">
        <v>3</v>
      </c>
      <c r="B4" s="186" t="s">
        <v>9</v>
      </c>
      <c r="C4" s="165" t="s">
        <v>7</v>
      </c>
      <c r="D4" s="85">
        <v>0.3</v>
      </c>
      <c r="E4" s="165" t="s">
        <v>440</v>
      </c>
      <c r="F4" s="165" t="s">
        <v>440</v>
      </c>
      <c r="G4" s="166">
        <v>1</v>
      </c>
      <c r="H4" s="163">
        <f t="shared" si="0"/>
        <v>0.3</v>
      </c>
      <c r="J4" s="164"/>
    </row>
    <row r="5" spans="1:10" ht="12.75" customHeight="1" x14ac:dyDescent="0.2">
      <c r="A5" s="161">
        <v>4</v>
      </c>
      <c r="B5" s="180" t="s">
        <v>10</v>
      </c>
      <c r="C5" s="181" t="s">
        <v>11</v>
      </c>
      <c r="D5" s="184">
        <v>16</v>
      </c>
      <c r="E5" s="178" t="s">
        <v>439</v>
      </c>
      <c r="F5" s="181" t="s">
        <v>442</v>
      </c>
      <c r="G5" s="179">
        <v>8</v>
      </c>
      <c r="H5" s="163">
        <f t="shared" si="0"/>
        <v>2</v>
      </c>
      <c r="J5" s="164"/>
    </row>
    <row r="6" spans="1:10" ht="12.75" customHeight="1" x14ac:dyDescent="0.2">
      <c r="A6" s="161">
        <v>5</v>
      </c>
      <c r="B6" s="180" t="s">
        <v>12</v>
      </c>
      <c r="C6" s="181" t="s">
        <v>11</v>
      </c>
      <c r="D6" s="184">
        <v>21.5</v>
      </c>
      <c r="E6" s="178" t="s">
        <v>439</v>
      </c>
      <c r="F6" s="181" t="s">
        <v>442</v>
      </c>
      <c r="G6" s="179">
        <v>8</v>
      </c>
      <c r="H6" s="163">
        <f t="shared" si="0"/>
        <v>2.6875</v>
      </c>
      <c r="J6" s="164"/>
    </row>
    <row r="7" spans="1:10" ht="12.75" customHeight="1" x14ac:dyDescent="0.2">
      <c r="A7" s="161">
        <v>6</v>
      </c>
      <c r="B7" s="187" t="s">
        <v>497</v>
      </c>
      <c r="C7" s="167" t="s">
        <v>529</v>
      </c>
      <c r="D7" s="168">
        <v>0.33</v>
      </c>
      <c r="E7" s="169" t="s">
        <v>440</v>
      </c>
      <c r="F7" s="171" t="s">
        <v>440</v>
      </c>
      <c r="G7" s="166">
        <v>1</v>
      </c>
      <c r="H7" s="163">
        <f t="shared" si="0"/>
        <v>0.33</v>
      </c>
      <c r="J7" s="164"/>
    </row>
    <row r="8" spans="1:10" ht="12.75" customHeight="1" x14ac:dyDescent="0.2">
      <c r="A8" s="161">
        <v>7</v>
      </c>
      <c r="B8" s="180" t="s">
        <v>13</v>
      </c>
      <c r="C8" s="181" t="s">
        <v>7</v>
      </c>
      <c r="D8" s="182">
        <v>1.7</v>
      </c>
      <c r="E8" s="183" t="s">
        <v>439</v>
      </c>
      <c r="F8" s="185" t="s">
        <v>446</v>
      </c>
      <c r="G8" s="179">
        <v>3</v>
      </c>
      <c r="H8" s="163">
        <f t="shared" si="0"/>
        <v>0.56666666666666665</v>
      </c>
      <c r="J8" s="164"/>
    </row>
    <row r="9" spans="1:10" ht="12.75" customHeight="1" x14ac:dyDescent="0.2">
      <c r="A9" s="161">
        <v>8</v>
      </c>
      <c r="B9" s="177" t="s">
        <v>448</v>
      </c>
      <c r="C9" s="178" t="s">
        <v>7</v>
      </c>
      <c r="D9" s="85">
        <v>0.55000000000000004</v>
      </c>
      <c r="E9" s="178" t="s">
        <v>446</v>
      </c>
      <c r="F9" s="178" t="s">
        <v>446</v>
      </c>
      <c r="G9" s="179">
        <v>1</v>
      </c>
      <c r="H9" s="163">
        <f t="shared" si="0"/>
        <v>0.55000000000000004</v>
      </c>
      <c r="J9" s="164"/>
    </row>
    <row r="10" spans="1:10" ht="12.75" customHeight="1" x14ac:dyDescent="0.2">
      <c r="A10" s="161">
        <v>9</v>
      </c>
      <c r="B10" s="209" t="s">
        <v>557</v>
      </c>
      <c r="C10" s="206" t="s">
        <v>7</v>
      </c>
      <c r="D10" s="85">
        <v>0.55000000000000004</v>
      </c>
      <c r="E10" s="206" t="s">
        <v>446</v>
      </c>
      <c r="F10" s="178" t="s">
        <v>446</v>
      </c>
      <c r="G10" s="179">
        <v>1</v>
      </c>
      <c r="H10" s="163">
        <f t="shared" si="0"/>
        <v>0.55000000000000004</v>
      </c>
      <c r="J10" s="164"/>
    </row>
    <row r="11" spans="1:10" ht="12.75" customHeight="1" x14ac:dyDescent="0.2">
      <c r="A11" s="161">
        <v>10</v>
      </c>
      <c r="B11" s="209" t="s">
        <v>538</v>
      </c>
      <c r="C11" s="206" t="s">
        <v>7</v>
      </c>
      <c r="D11" s="85">
        <v>0.55000000000000004</v>
      </c>
      <c r="E11" s="206" t="s">
        <v>446</v>
      </c>
      <c r="F11" s="178" t="s">
        <v>446</v>
      </c>
      <c r="G11" s="179">
        <v>1</v>
      </c>
      <c r="H11" s="163">
        <f t="shared" si="0"/>
        <v>0.55000000000000004</v>
      </c>
      <c r="J11" s="164"/>
    </row>
    <row r="12" spans="1:10" ht="12.75" customHeight="1" x14ac:dyDescent="0.2">
      <c r="A12" s="161">
        <v>11</v>
      </c>
      <c r="B12" s="187" t="s">
        <v>599</v>
      </c>
      <c r="C12" s="167" t="s">
        <v>529</v>
      </c>
      <c r="D12" s="168">
        <v>1.95</v>
      </c>
      <c r="E12" s="169" t="s">
        <v>439</v>
      </c>
      <c r="F12" s="167" t="s">
        <v>443</v>
      </c>
      <c r="G12" s="166">
        <v>5</v>
      </c>
      <c r="H12" s="163">
        <f t="shared" si="0"/>
        <v>0.39</v>
      </c>
      <c r="J12" s="164"/>
    </row>
    <row r="13" spans="1:10" ht="12.75" customHeight="1" x14ac:dyDescent="0.2">
      <c r="A13" s="161">
        <v>12</v>
      </c>
      <c r="B13" s="180" t="s">
        <v>14</v>
      </c>
      <c r="C13" s="181" t="s">
        <v>7</v>
      </c>
      <c r="D13" s="182">
        <v>0.56999999999999995</v>
      </c>
      <c r="E13" s="183" t="s">
        <v>74</v>
      </c>
      <c r="F13" s="185" t="s">
        <v>446</v>
      </c>
      <c r="G13" s="179">
        <v>1</v>
      </c>
      <c r="H13" s="163">
        <f t="shared" si="0"/>
        <v>0.56999999999999995</v>
      </c>
      <c r="J13" s="164"/>
    </row>
    <row r="14" spans="1:10" ht="12.75" customHeight="1" x14ac:dyDescent="0.2">
      <c r="A14" s="161">
        <v>13</v>
      </c>
      <c r="B14" s="180" t="s">
        <v>15</v>
      </c>
      <c r="C14" s="181" t="s">
        <v>7</v>
      </c>
      <c r="D14" s="182">
        <v>0.46</v>
      </c>
      <c r="E14" s="181" t="s">
        <v>74</v>
      </c>
      <c r="F14" s="185" t="s">
        <v>446</v>
      </c>
      <c r="G14" s="179">
        <v>1</v>
      </c>
      <c r="H14" s="163">
        <f t="shared" si="0"/>
        <v>0.46</v>
      </c>
    </row>
    <row r="15" spans="1:10" ht="12.75" customHeight="1" x14ac:dyDescent="0.2">
      <c r="A15" s="161">
        <v>14</v>
      </c>
      <c r="B15" s="180" t="s">
        <v>16</v>
      </c>
      <c r="C15" s="181" t="s">
        <v>11</v>
      </c>
      <c r="D15" s="184">
        <v>21</v>
      </c>
      <c r="E15" s="178" t="s">
        <v>439</v>
      </c>
      <c r="F15" s="181" t="s">
        <v>443</v>
      </c>
      <c r="G15" s="179">
        <v>4</v>
      </c>
      <c r="H15" s="163">
        <f t="shared" si="0"/>
        <v>5.25</v>
      </c>
      <c r="J15" s="164"/>
    </row>
    <row r="16" spans="1:10" ht="12.75" customHeight="1" x14ac:dyDescent="0.2">
      <c r="A16" s="161">
        <v>15</v>
      </c>
      <c r="B16" s="180" t="s">
        <v>17</v>
      </c>
      <c r="C16" s="181" t="s">
        <v>3</v>
      </c>
      <c r="D16" s="182">
        <v>9.5</v>
      </c>
      <c r="E16" s="183" t="s">
        <v>71</v>
      </c>
      <c r="F16" s="181" t="s">
        <v>71</v>
      </c>
      <c r="G16" s="179">
        <v>1</v>
      </c>
      <c r="H16" s="163">
        <f t="shared" si="0"/>
        <v>9.5</v>
      </c>
      <c r="J16" s="164"/>
    </row>
    <row r="17" spans="1:10" ht="12.75" customHeight="1" x14ac:dyDescent="0.2">
      <c r="A17" s="161">
        <v>16</v>
      </c>
      <c r="B17" s="187" t="s">
        <v>472</v>
      </c>
      <c r="C17" s="167" t="s">
        <v>11</v>
      </c>
      <c r="D17" s="85">
        <v>240</v>
      </c>
      <c r="E17" s="165" t="s">
        <v>443</v>
      </c>
      <c r="F17" s="167" t="s">
        <v>441</v>
      </c>
      <c r="G17" s="166">
        <v>32</v>
      </c>
      <c r="H17" s="163">
        <f t="shared" si="0"/>
        <v>7.5</v>
      </c>
      <c r="J17" s="164"/>
    </row>
    <row r="18" spans="1:10" ht="12.75" customHeight="1" x14ac:dyDescent="0.2">
      <c r="A18" s="161">
        <v>17</v>
      </c>
      <c r="B18" s="177" t="s">
        <v>532</v>
      </c>
      <c r="C18" s="178" t="s">
        <v>19</v>
      </c>
      <c r="D18" s="85">
        <v>9</v>
      </c>
      <c r="E18" s="178" t="s">
        <v>440</v>
      </c>
      <c r="F18" s="178" t="s">
        <v>440</v>
      </c>
      <c r="G18" s="179">
        <v>1</v>
      </c>
      <c r="H18" s="163">
        <f t="shared" si="0"/>
        <v>9</v>
      </c>
    </row>
    <row r="19" spans="1:10" ht="12.75" customHeight="1" x14ac:dyDescent="0.2">
      <c r="A19" s="161">
        <v>18</v>
      </c>
      <c r="B19" s="180" t="s">
        <v>18</v>
      </c>
      <c r="C19" s="181" t="s">
        <v>19</v>
      </c>
      <c r="D19" s="182">
        <v>6</v>
      </c>
      <c r="E19" s="183" t="s">
        <v>440</v>
      </c>
      <c r="F19" s="181" t="s">
        <v>440</v>
      </c>
      <c r="G19" s="179">
        <v>1</v>
      </c>
      <c r="H19" s="163">
        <f t="shared" si="0"/>
        <v>6</v>
      </c>
      <c r="J19" s="164"/>
    </row>
    <row r="20" spans="1:10" ht="12.75" customHeight="1" x14ac:dyDescent="0.2">
      <c r="A20" s="161">
        <v>19</v>
      </c>
      <c r="B20" s="180" t="s">
        <v>490</v>
      </c>
      <c r="C20" s="181" t="s">
        <v>11</v>
      </c>
      <c r="D20" s="184">
        <v>9</v>
      </c>
      <c r="E20" s="178" t="s">
        <v>441</v>
      </c>
      <c r="F20" s="185" t="s">
        <v>441</v>
      </c>
      <c r="G20" s="179">
        <v>1</v>
      </c>
      <c r="H20" s="163">
        <f t="shared" si="0"/>
        <v>9</v>
      </c>
      <c r="J20" s="164"/>
    </row>
    <row r="21" spans="1:10" ht="12.75" customHeight="1" x14ac:dyDescent="0.2">
      <c r="A21" s="161">
        <v>20</v>
      </c>
      <c r="B21" s="177" t="s">
        <v>450</v>
      </c>
      <c r="C21" s="178" t="s">
        <v>21</v>
      </c>
      <c r="D21" s="184">
        <v>80</v>
      </c>
      <c r="E21" s="178" t="s">
        <v>439</v>
      </c>
      <c r="F21" s="178" t="s">
        <v>441</v>
      </c>
      <c r="G21" s="179">
        <v>128</v>
      </c>
      <c r="H21" s="163">
        <f t="shared" si="0"/>
        <v>0.625</v>
      </c>
      <c r="J21" s="164"/>
    </row>
    <row r="22" spans="1:10" ht="12.75" customHeight="1" x14ac:dyDescent="0.2">
      <c r="A22" s="161">
        <v>21</v>
      </c>
      <c r="B22" s="298" t="s">
        <v>595</v>
      </c>
      <c r="C22" s="181" t="s">
        <v>11</v>
      </c>
      <c r="D22" s="182">
        <v>14.5</v>
      </c>
      <c r="E22" s="183" t="s">
        <v>439</v>
      </c>
      <c r="F22" s="181" t="s">
        <v>443</v>
      </c>
      <c r="G22" s="179">
        <v>4</v>
      </c>
      <c r="H22" s="163">
        <f t="shared" si="0"/>
        <v>3.625</v>
      </c>
      <c r="J22" s="164"/>
    </row>
    <row r="23" spans="1:10" ht="12.75" customHeight="1" x14ac:dyDescent="0.2">
      <c r="A23" s="161">
        <v>22</v>
      </c>
      <c r="B23" s="209" t="s">
        <v>537</v>
      </c>
      <c r="C23" s="206" t="s">
        <v>11</v>
      </c>
      <c r="D23" s="85">
        <v>3.25</v>
      </c>
      <c r="E23" s="206" t="s">
        <v>440</v>
      </c>
      <c r="F23" s="206" t="s">
        <v>440</v>
      </c>
      <c r="G23" s="166">
        <v>1</v>
      </c>
      <c r="H23" s="163">
        <f t="shared" si="0"/>
        <v>3.25</v>
      </c>
    </row>
    <row r="24" spans="1:10" ht="12.75" customHeight="1" x14ac:dyDescent="0.2">
      <c r="A24" s="161">
        <v>23</v>
      </c>
      <c r="B24" s="191" t="s">
        <v>491</v>
      </c>
      <c r="C24" s="181" t="s">
        <v>11</v>
      </c>
      <c r="D24" s="184">
        <v>90</v>
      </c>
      <c r="E24" s="178" t="s">
        <v>440</v>
      </c>
      <c r="F24" s="181" t="s">
        <v>441</v>
      </c>
      <c r="G24" s="179">
        <v>16</v>
      </c>
      <c r="H24" s="163">
        <f t="shared" si="0"/>
        <v>5.625</v>
      </c>
      <c r="J24" s="164"/>
    </row>
    <row r="25" spans="1:10" ht="12.75" customHeight="1" x14ac:dyDescent="0.2">
      <c r="A25" s="161">
        <v>24</v>
      </c>
      <c r="B25" s="177" t="s">
        <v>401</v>
      </c>
      <c r="C25" s="178" t="s">
        <v>11</v>
      </c>
      <c r="D25" s="184">
        <v>6</v>
      </c>
      <c r="E25" s="178" t="s">
        <v>441</v>
      </c>
      <c r="F25" s="178" t="s">
        <v>441</v>
      </c>
      <c r="G25" s="179">
        <v>1</v>
      </c>
      <c r="H25" s="163">
        <f t="shared" si="0"/>
        <v>6</v>
      </c>
      <c r="J25" s="164"/>
    </row>
    <row r="26" spans="1:10" ht="12.75" customHeight="1" x14ac:dyDescent="0.2">
      <c r="A26" s="161">
        <v>25</v>
      </c>
      <c r="B26" s="188" t="s">
        <v>577</v>
      </c>
      <c r="C26" s="167" t="s">
        <v>3</v>
      </c>
      <c r="D26" s="168">
        <v>13</v>
      </c>
      <c r="E26" s="169" t="s">
        <v>72</v>
      </c>
      <c r="F26" s="167" t="s">
        <v>64</v>
      </c>
      <c r="G26" s="166">
        <f>1360/2000</f>
        <v>0.68</v>
      </c>
      <c r="H26" s="163">
        <f t="shared" si="0"/>
        <v>19.117647058823529</v>
      </c>
      <c r="J26" s="164"/>
    </row>
    <row r="27" spans="1:10" ht="12.75" customHeight="1" x14ac:dyDescent="0.2">
      <c r="A27" s="161">
        <v>26</v>
      </c>
      <c r="B27" s="177" t="s">
        <v>449</v>
      </c>
      <c r="C27" s="178" t="s">
        <v>11</v>
      </c>
      <c r="D27" s="184">
        <v>105</v>
      </c>
      <c r="E27" s="178" t="s">
        <v>439</v>
      </c>
      <c r="F27" s="178" t="s">
        <v>442</v>
      </c>
      <c r="G27" s="179">
        <v>8</v>
      </c>
      <c r="H27" s="163">
        <f t="shared" si="0"/>
        <v>13.125</v>
      </c>
      <c r="J27" s="164"/>
    </row>
    <row r="28" spans="1:10" ht="12.75" customHeight="1" x14ac:dyDescent="0.2">
      <c r="A28" s="161">
        <v>27</v>
      </c>
      <c r="B28" s="180" t="s">
        <v>20</v>
      </c>
      <c r="C28" s="181" t="s">
        <v>11</v>
      </c>
      <c r="D28" s="184">
        <v>50</v>
      </c>
      <c r="E28" s="178" t="s">
        <v>439</v>
      </c>
      <c r="F28" s="181" t="s">
        <v>443</v>
      </c>
      <c r="G28" s="179">
        <v>4</v>
      </c>
      <c r="H28" s="163">
        <f t="shared" si="0"/>
        <v>12.5</v>
      </c>
      <c r="J28" s="164"/>
    </row>
    <row r="29" spans="1:10" ht="12.75" customHeight="1" x14ac:dyDescent="0.2">
      <c r="A29" s="161">
        <v>28</v>
      </c>
      <c r="B29" s="177" t="s">
        <v>466</v>
      </c>
      <c r="C29" s="178" t="s">
        <v>21</v>
      </c>
      <c r="D29" s="184">
        <v>145</v>
      </c>
      <c r="E29" s="178" t="s">
        <v>439</v>
      </c>
      <c r="F29" s="178" t="s">
        <v>441</v>
      </c>
      <c r="G29" s="179">
        <v>128</v>
      </c>
      <c r="H29" s="163">
        <f t="shared" si="0"/>
        <v>1.1328125</v>
      </c>
      <c r="J29" s="164"/>
    </row>
    <row r="30" spans="1:10" ht="12.75" customHeight="1" x14ac:dyDescent="0.2">
      <c r="A30" s="161">
        <v>29</v>
      </c>
      <c r="B30" s="186" t="s">
        <v>574</v>
      </c>
      <c r="C30" s="165" t="s">
        <v>11</v>
      </c>
      <c r="D30" s="85">
        <v>135</v>
      </c>
      <c r="E30" s="165" t="s">
        <v>439</v>
      </c>
      <c r="F30" s="167" t="s">
        <v>442</v>
      </c>
      <c r="G30" s="166">
        <v>8</v>
      </c>
      <c r="H30" s="163">
        <f t="shared" si="0"/>
        <v>16.875</v>
      </c>
      <c r="J30" s="164"/>
    </row>
    <row r="31" spans="1:10" ht="12.75" customHeight="1" x14ac:dyDescent="0.2">
      <c r="A31" s="161">
        <v>30</v>
      </c>
      <c r="B31" s="177" t="s">
        <v>536</v>
      </c>
      <c r="C31" s="178" t="s">
        <v>21</v>
      </c>
      <c r="D31" s="85">
        <v>360</v>
      </c>
      <c r="E31" s="178" t="s">
        <v>439</v>
      </c>
      <c r="F31" s="178" t="s">
        <v>441</v>
      </c>
      <c r="G31" s="179">
        <v>128</v>
      </c>
      <c r="H31" s="163">
        <f t="shared" si="0"/>
        <v>2.8125</v>
      </c>
      <c r="J31" s="164"/>
    </row>
    <row r="32" spans="1:10" ht="12.75" customHeight="1" x14ac:dyDescent="0.2">
      <c r="A32" s="161">
        <v>31</v>
      </c>
      <c r="B32" s="180" t="s">
        <v>22</v>
      </c>
      <c r="C32" s="181" t="s">
        <v>3</v>
      </c>
      <c r="D32" s="182">
        <v>10</v>
      </c>
      <c r="E32" s="183" t="s">
        <v>64</v>
      </c>
      <c r="F32" s="181" t="s">
        <v>64</v>
      </c>
      <c r="G32" s="179">
        <v>1</v>
      </c>
      <c r="H32" s="163">
        <f t="shared" si="0"/>
        <v>10</v>
      </c>
      <c r="J32" s="164"/>
    </row>
    <row r="33" spans="1:10" ht="12.75" customHeight="1" x14ac:dyDescent="0.2">
      <c r="A33" s="161">
        <v>32</v>
      </c>
      <c r="B33" s="177" t="s">
        <v>464</v>
      </c>
      <c r="C33" s="178" t="s">
        <v>39</v>
      </c>
      <c r="D33" s="184">
        <v>3.5</v>
      </c>
      <c r="E33" s="178" t="s">
        <v>442</v>
      </c>
      <c r="F33" s="178" t="s">
        <v>442</v>
      </c>
      <c r="G33" s="179">
        <v>1</v>
      </c>
      <c r="H33" s="163">
        <f t="shared" si="0"/>
        <v>3.5</v>
      </c>
      <c r="J33" s="164"/>
    </row>
    <row r="34" spans="1:10" ht="12.75" customHeight="1" x14ac:dyDescent="0.2">
      <c r="A34" s="161">
        <v>33</v>
      </c>
      <c r="B34" s="180" t="s">
        <v>23</v>
      </c>
      <c r="C34" s="181" t="s">
        <v>19</v>
      </c>
      <c r="D34" s="182">
        <v>175</v>
      </c>
      <c r="E34" s="183" t="s">
        <v>76</v>
      </c>
      <c r="F34" s="181" t="s">
        <v>573</v>
      </c>
      <c r="G34" s="179">
        <v>80</v>
      </c>
      <c r="H34" s="163">
        <f t="shared" ref="H34:H65" si="1">IF(G34=0,0,D34/G34)</f>
        <v>2.1875</v>
      </c>
      <c r="J34" s="164"/>
    </row>
    <row r="35" spans="1:10" ht="12.75" customHeight="1" x14ac:dyDescent="0.2">
      <c r="A35" s="161">
        <v>34</v>
      </c>
      <c r="B35" s="180" t="s">
        <v>24</v>
      </c>
      <c r="C35" s="181" t="s">
        <v>19</v>
      </c>
      <c r="D35" s="182">
        <v>200</v>
      </c>
      <c r="E35" s="183" t="s">
        <v>76</v>
      </c>
      <c r="F35" s="181" t="s">
        <v>573</v>
      </c>
      <c r="G35" s="179">
        <v>80</v>
      </c>
      <c r="H35" s="163">
        <f t="shared" si="1"/>
        <v>2.5</v>
      </c>
    </row>
    <row r="36" spans="1:10" ht="12.75" customHeight="1" x14ac:dyDescent="0.2">
      <c r="A36" s="161">
        <v>35</v>
      </c>
      <c r="B36" s="180" t="s">
        <v>25</v>
      </c>
      <c r="C36" s="181" t="s">
        <v>19</v>
      </c>
      <c r="D36" s="182">
        <v>215</v>
      </c>
      <c r="E36" s="183" t="s">
        <v>76</v>
      </c>
      <c r="F36" s="181" t="s">
        <v>573</v>
      </c>
      <c r="G36" s="179">
        <v>80</v>
      </c>
      <c r="H36" s="163">
        <f t="shared" si="1"/>
        <v>2.6875</v>
      </c>
      <c r="J36" s="164"/>
    </row>
    <row r="37" spans="1:10" ht="12.75" customHeight="1" x14ac:dyDescent="0.2">
      <c r="A37" s="161">
        <v>36</v>
      </c>
      <c r="B37" s="177" t="s">
        <v>534</v>
      </c>
      <c r="C37" s="178" t="s">
        <v>19</v>
      </c>
      <c r="D37" s="85">
        <v>245</v>
      </c>
      <c r="E37" s="178" t="s">
        <v>76</v>
      </c>
      <c r="F37" s="181" t="s">
        <v>573</v>
      </c>
      <c r="G37" s="179">
        <v>80</v>
      </c>
      <c r="H37" s="163">
        <f t="shared" si="1"/>
        <v>3.0625</v>
      </c>
      <c r="J37" s="164"/>
    </row>
    <row r="38" spans="1:10" ht="12.75" customHeight="1" x14ac:dyDescent="0.2">
      <c r="A38" s="161">
        <v>37</v>
      </c>
      <c r="B38" s="209" t="s">
        <v>569</v>
      </c>
      <c r="C38" s="206" t="s">
        <v>19</v>
      </c>
      <c r="D38" s="85">
        <v>230</v>
      </c>
      <c r="E38" s="206" t="s">
        <v>76</v>
      </c>
      <c r="F38" s="181" t="s">
        <v>573</v>
      </c>
      <c r="G38" s="179">
        <v>80</v>
      </c>
      <c r="H38" s="163">
        <f t="shared" si="1"/>
        <v>2.875</v>
      </c>
      <c r="J38" s="164"/>
    </row>
    <row r="39" spans="1:10" ht="12.75" customHeight="1" x14ac:dyDescent="0.2">
      <c r="A39" s="161">
        <v>38</v>
      </c>
      <c r="B39" s="177" t="s">
        <v>535</v>
      </c>
      <c r="C39" s="178" t="s">
        <v>19</v>
      </c>
      <c r="D39" s="184">
        <v>215</v>
      </c>
      <c r="E39" s="178" t="s">
        <v>76</v>
      </c>
      <c r="F39" s="181" t="s">
        <v>573</v>
      </c>
      <c r="G39" s="179">
        <v>80</v>
      </c>
      <c r="H39" s="163">
        <f t="shared" si="1"/>
        <v>2.6875</v>
      </c>
      <c r="J39" s="164"/>
    </row>
    <row r="40" spans="1:10" ht="12.75" customHeight="1" x14ac:dyDescent="0.2">
      <c r="A40" s="161">
        <v>39</v>
      </c>
      <c r="B40" s="187" t="s">
        <v>542</v>
      </c>
      <c r="C40" s="167" t="s">
        <v>19</v>
      </c>
      <c r="D40" s="168">
        <v>280</v>
      </c>
      <c r="E40" s="169" t="s">
        <v>76</v>
      </c>
      <c r="F40" s="181" t="s">
        <v>573</v>
      </c>
      <c r="G40" s="179">
        <v>80</v>
      </c>
      <c r="H40" s="163">
        <f t="shared" si="1"/>
        <v>3.5</v>
      </c>
      <c r="J40" s="164"/>
    </row>
    <row r="41" spans="1:10" ht="12.75" customHeight="1" x14ac:dyDescent="0.2">
      <c r="A41" s="161">
        <v>40</v>
      </c>
      <c r="B41" s="209" t="s">
        <v>597</v>
      </c>
      <c r="C41" s="206" t="s">
        <v>19</v>
      </c>
      <c r="D41" s="85">
        <v>20</v>
      </c>
      <c r="E41" s="206" t="s">
        <v>71</v>
      </c>
      <c r="F41" s="206" t="s">
        <v>71</v>
      </c>
      <c r="G41" s="166">
        <v>1</v>
      </c>
      <c r="H41" s="163">
        <f t="shared" si="1"/>
        <v>20</v>
      </c>
      <c r="J41" s="164"/>
    </row>
    <row r="42" spans="1:10" ht="12.75" customHeight="1" x14ac:dyDescent="0.2">
      <c r="A42" s="161">
        <v>41</v>
      </c>
      <c r="B42" s="209" t="s">
        <v>598</v>
      </c>
      <c r="C42" s="206" t="s">
        <v>19</v>
      </c>
      <c r="D42" s="85">
        <v>30</v>
      </c>
      <c r="E42" s="206" t="s">
        <v>71</v>
      </c>
      <c r="F42" s="206" t="s">
        <v>71</v>
      </c>
      <c r="G42" s="166">
        <v>1</v>
      </c>
      <c r="H42" s="163">
        <f t="shared" si="1"/>
        <v>30</v>
      </c>
      <c r="J42" s="164"/>
    </row>
    <row r="43" spans="1:10" ht="12.75" customHeight="1" x14ac:dyDescent="0.2">
      <c r="A43" s="161">
        <v>42</v>
      </c>
      <c r="B43" s="180" t="s">
        <v>26</v>
      </c>
      <c r="C43" s="181" t="s">
        <v>529</v>
      </c>
      <c r="D43" s="184">
        <v>10.5</v>
      </c>
      <c r="E43" s="178" t="s">
        <v>439</v>
      </c>
      <c r="F43" s="181" t="s">
        <v>442</v>
      </c>
      <c r="G43" s="179">
        <v>8</v>
      </c>
      <c r="H43" s="163">
        <f t="shared" si="1"/>
        <v>1.3125</v>
      </c>
      <c r="J43" s="164"/>
    </row>
    <row r="44" spans="1:10" ht="12.75" customHeight="1" x14ac:dyDescent="0.2">
      <c r="A44" s="161">
        <v>43</v>
      </c>
      <c r="B44" s="180" t="s">
        <v>27</v>
      </c>
      <c r="C44" s="181" t="s">
        <v>11</v>
      </c>
      <c r="D44" s="184">
        <v>80</v>
      </c>
      <c r="E44" s="178" t="s">
        <v>439</v>
      </c>
      <c r="F44" s="181" t="s">
        <v>441</v>
      </c>
      <c r="G44" s="179">
        <v>128</v>
      </c>
      <c r="H44" s="163">
        <f t="shared" si="1"/>
        <v>0.625</v>
      </c>
    </row>
    <row r="45" spans="1:10" ht="12.75" customHeight="1" x14ac:dyDescent="0.2">
      <c r="A45" s="161">
        <v>44</v>
      </c>
      <c r="B45" s="187" t="s">
        <v>496</v>
      </c>
      <c r="C45" s="167" t="s">
        <v>11</v>
      </c>
      <c r="D45" s="168">
        <v>40</v>
      </c>
      <c r="E45" s="169" t="s">
        <v>439</v>
      </c>
      <c r="F45" s="167" t="s">
        <v>441</v>
      </c>
      <c r="G45" s="166">
        <v>128</v>
      </c>
      <c r="H45" s="163">
        <f t="shared" si="1"/>
        <v>0.3125</v>
      </c>
      <c r="J45" s="164"/>
    </row>
    <row r="46" spans="1:10" ht="12.75" customHeight="1" x14ac:dyDescent="0.2">
      <c r="A46" s="161">
        <v>45</v>
      </c>
      <c r="B46" s="180" t="s">
        <v>568</v>
      </c>
      <c r="C46" s="181" t="s">
        <v>3</v>
      </c>
      <c r="D46" s="182">
        <v>0.09</v>
      </c>
      <c r="E46" s="183" t="s">
        <v>438</v>
      </c>
      <c r="F46" s="181" t="s">
        <v>438</v>
      </c>
      <c r="G46" s="179">
        <v>1</v>
      </c>
      <c r="H46" s="163">
        <f t="shared" si="1"/>
        <v>0.09</v>
      </c>
      <c r="J46" s="164"/>
    </row>
    <row r="47" spans="1:10" ht="12.75" customHeight="1" x14ac:dyDescent="0.2">
      <c r="A47" s="161">
        <v>46</v>
      </c>
      <c r="B47" s="180" t="s">
        <v>28</v>
      </c>
      <c r="C47" s="181" t="s">
        <v>19</v>
      </c>
      <c r="D47" s="182">
        <v>92</v>
      </c>
      <c r="E47" s="183" t="s">
        <v>73</v>
      </c>
      <c r="F47" s="181" t="s">
        <v>73</v>
      </c>
      <c r="G47" s="179">
        <v>1</v>
      </c>
      <c r="H47" s="163">
        <f t="shared" si="1"/>
        <v>92</v>
      </c>
      <c r="J47" s="164"/>
    </row>
    <row r="48" spans="1:10" ht="12.75" customHeight="1" x14ac:dyDescent="0.2">
      <c r="A48" s="161">
        <v>47</v>
      </c>
      <c r="B48" s="180" t="s">
        <v>527</v>
      </c>
      <c r="C48" s="181" t="s">
        <v>29</v>
      </c>
      <c r="D48" s="182">
        <v>28</v>
      </c>
      <c r="E48" s="183" t="s">
        <v>71</v>
      </c>
      <c r="F48" s="181" t="s">
        <v>71</v>
      </c>
      <c r="G48" s="179">
        <v>1</v>
      </c>
      <c r="H48" s="163">
        <f t="shared" si="1"/>
        <v>28</v>
      </c>
      <c r="J48" s="164"/>
    </row>
    <row r="49" spans="1:10" ht="12.75" customHeight="1" x14ac:dyDescent="0.2">
      <c r="A49" s="161">
        <v>48</v>
      </c>
      <c r="B49" s="180" t="s">
        <v>494</v>
      </c>
      <c r="C49" s="181" t="s">
        <v>29</v>
      </c>
      <c r="D49" s="182">
        <v>0.1</v>
      </c>
      <c r="E49" s="183" t="s">
        <v>493</v>
      </c>
      <c r="F49" s="181" t="s">
        <v>493</v>
      </c>
      <c r="G49" s="179">
        <v>1</v>
      </c>
      <c r="H49" s="163">
        <f t="shared" si="1"/>
        <v>0.1</v>
      </c>
      <c r="J49" s="164"/>
    </row>
    <row r="50" spans="1:10" ht="12.75" customHeight="1" x14ac:dyDescent="0.2">
      <c r="A50" s="161">
        <v>49</v>
      </c>
      <c r="B50" s="180" t="s">
        <v>30</v>
      </c>
      <c r="C50" s="181" t="s">
        <v>11</v>
      </c>
      <c r="D50" s="184">
        <v>37</v>
      </c>
      <c r="E50" s="178" t="s">
        <v>439</v>
      </c>
      <c r="F50" s="181" t="s">
        <v>443</v>
      </c>
      <c r="G50" s="179">
        <v>4</v>
      </c>
      <c r="H50" s="163">
        <f t="shared" si="1"/>
        <v>9.25</v>
      </c>
      <c r="J50" s="164"/>
    </row>
    <row r="51" spans="1:10" ht="12.75" customHeight="1" x14ac:dyDescent="0.2">
      <c r="A51" s="161">
        <v>50</v>
      </c>
      <c r="B51" s="180" t="s">
        <v>31</v>
      </c>
      <c r="C51" s="181" t="s">
        <v>29</v>
      </c>
      <c r="D51" s="182">
        <v>260</v>
      </c>
      <c r="E51" s="183" t="s">
        <v>75</v>
      </c>
      <c r="F51" s="181" t="s">
        <v>71</v>
      </c>
      <c r="G51" s="179">
        <v>130</v>
      </c>
      <c r="H51" s="163">
        <f t="shared" si="1"/>
        <v>2</v>
      </c>
      <c r="J51" s="164"/>
    </row>
    <row r="52" spans="1:10" ht="12.75" customHeight="1" x14ac:dyDescent="0.2">
      <c r="A52" s="161">
        <v>51</v>
      </c>
      <c r="B52" s="180" t="s">
        <v>32</v>
      </c>
      <c r="C52" s="181" t="s">
        <v>11</v>
      </c>
      <c r="D52" s="184">
        <v>17</v>
      </c>
      <c r="E52" s="178" t="s">
        <v>439</v>
      </c>
      <c r="F52" s="181" t="s">
        <v>441</v>
      </c>
      <c r="G52" s="179">
        <v>128</v>
      </c>
      <c r="H52" s="163">
        <f t="shared" si="1"/>
        <v>0.1328125</v>
      </c>
      <c r="J52" s="164"/>
    </row>
    <row r="53" spans="1:10" ht="12.75" customHeight="1" x14ac:dyDescent="0.2">
      <c r="A53" s="161">
        <v>52</v>
      </c>
      <c r="B53" s="177" t="s">
        <v>579</v>
      </c>
      <c r="C53" s="178" t="s">
        <v>11</v>
      </c>
      <c r="D53" s="184">
        <v>43</v>
      </c>
      <c r="E53" s="178" t="s">
        <v>439</v>
      </c>
      <c r="F53" s="178" t="s">
        <v>442</v>
      </c>
      <c r="G53" s="179">
        <v>8</v>
      </c>
      <c r="H53" s="163">
        <f t="shared" si="1"/>
        <v>5.375</v>
      </c>
      <c r="J53" s="164"/>
    </row>
    <row r="54" spans="1:10" ht="12.75" customHeight="1" x14ac:dyDescent="0.2">
      <c r="A54" s="161">
        <v>53</v>
      </c>
      <c r="B54" s="180" t="s">
        <v>33</v>
      </c>
      <c r="C54" s="181" t="s">
        <v>34</v>
      </c>
      <c r="D54" s="182">
        <v>10</v>
      </c>
      <c r="E54" s="183" t="s">
        <v>71</v>
      </c>
      <c r="F54" s="181" t="s">
        <v>71</v>
      </c>
      <c r="G54" s="179">
        <v>1</v>
      </c>
      <c r="H54" s="163">
        <f t="shared" si="1"/>
        <v>10</v>
      </c>
      <c r="J54" s="164"/>
    </row>
    <row r="55" spans="1:10" ht="12.75" customHeight="1" x14ac:dyDescent="0.2">
      <c r="A55" s="161">
        <v>54</v>
      </c>
      <c r="B55" s="180" t="s">
        <v>35</v>
      </c>
      <c r="C55" s="181" t="s">
        <v>19</v>
      </c>
      <c r="D55" s="182">
        <v>60</v>
      </c>
      <c r="E55" s="183" t="s">
        <v>71</v>
      </c>
      <c r="F55" s="181" t="s">
        <v>71</v>
      </c>
      <c r="G55" s="179">
        <v>1</v>
      </c>
      <c r="H55" s="163">
        <f t="shared" si="1"/>
        <v>60</v>
      </c>
    </row>
    <row r="56" spans="1:10" ht="12.75" customHeight="1" x14ac:dyDescent="0.2">
      <c r="A56" s="161">
        <v>55</v>
      </c>
      <c r="B56" s="180" t="s">
        <v>36</v>
      </c>
      <c r="C56" s="181" t="s">
        <v>3</v>
      </c>
      <c r="D56" s="182">
        <v>6</v>
      </c>
      <c r="E56" s="183" t="s">
        <v>64</v>
      </c>
      <c r="F56" s="181" t="s">
        <v>64</v>
      </c>
      <c r="G56" s="179">
        <v>1</v>
      </c>
      <c r="H56" s="163">
        <f t="shared" si="1"/>
        <v>6</v>
      </c>
      <c r="J56" s="164"/>
    </row>
    <row r="57" spans="1:10" ht="12.75" customHeight="1" x14ac:dyDescent="0.2">
      <c r="A57" s="161">
        <v>56</v>
      </c>
      <c r="B57" s="180" t="s">
        <v>37</v>
      </c>
      <c r="C57" s="181" t="s">
        <v>3</v>
      </c>
      <c r="D57" s="182">
        <v>5</v>
      </c>
      <c r="E57" s="183" t="s">
        <v>64</v>
      </c>
      <c r="F57" s="181" t="s">
        <v>64</v>
      </c>
      <c r="G57" s="179">
        <v>1</v>
      </c>
      <c r="H57" s="163">
        <f t="shared" si="1"/>
        <v>5</v>
      </c>
      <c r="J57" s="164"/>
    </row>
    <row r="58" spans="1:10" ht="12.75" customHeight="1" x14ac:dyDescent="0.2">
      <c r="A58" s="161">
        <v>57</v>
      </c>
      <c r="B58" s="180" t="s">
        <v>424</v>
      </c>
      <c r="C58" s="181" t="s">
        <v>3</v>
      </c>
      <c r="D58" s="182">
        <v>0.28000000000000003</v>
      </c>
      <c r="E58" s="183" t="s">
        <v>73</v>
      </c>
      <c r="F58" s="181" t="s">
        <v>73</v>
      </c>
      <c r="G58" s="179">
        <v>1</v>
      </c>
      <c r="H58" s="163">
        <f t="shared" si="1"/>
        <v>0.28000000000000003</v>
      </c>
      <c r="J58" s="164"/>
    </row>
    <row r="59" spans="1:10" ht="12.75" customHeight="1" x14ac:dyDescent="0.2">
      <c r="A59" s="161">
        <v>58</v>
      </c>
      <c r="B59" s="177" t="s">
        <v>422</v>
      </c>
      <c r="C59" s="178" t="s">
        <v>3</v>
      </c>
      <c r="D59" s="184">
        <v>0.24</v>
      </c>
      <c r="E59" s="178" t="s">
        <v>73</v>
      </c>
      <c r="F59" s="178" t="s">
        <v>73</v>
      </c>
      <c r="G59" s="179">
        <v>1</v>
      </c>
      <c r="H59" s="163">
        <f t="shared" si="1"/>
        <v>0.24</v>
      </c>
      <c r="J59" s="164"/>
    </row>
    <row r="60" spans="1:10" ht="12.75" customHeight="1" x14ac:dyDescent="0.2">
      <c r="A60" s="161">
        <v>59</v>
      </c>
      <c r="B60" s="177" t="s">
        <v>423</v>
      </c>
      <c r="C60" s="178" t="s">
        <v>3</v>
      </c>
      <c r="D60" s="184">
        <v>0.3</v>
      </c>
      <c r="E60" s="178" t="s">
        <v>73</v>
      </c>
      <c r="F60" s="178" t="s">
        <v>73</v>
      </c>
      <c r="G60" s="179">
        <v>1</v>
      </c>
      <c r="H60" s="163">
        <f t="shared" si="1"/>
        <v>0.3</v>
      </c>
      <c r="J60" s="164"/>
    </row>
    <row r="61" spans="1:10" ht="12.75" customHeight="1" x14ac:dyDescent="0.2">
      <c r="A61" s="161">
        <v>60</v>
      </c>
      <c r="B61" s="180" t="s">
        <v>38</v>
      </c>
      <c r="C61" s="181" t="s">
        <v>3</v>
      </c>
      <c r="D61" s="182">
        <v>0.11</v>
      </c>
      <c r="E61" s="183" t="s">
        <v>438</v>
      </c>
      <c r="F61" s="181" t="s">
        <v>438</v>
      </c>
      <c r="G61" s="179">
        <v>1</v>
      </c>
      <c r="H61" s="163">
        <f t="shared" si="1"/>
        <v>0.11</v>
      </c>
      <c r="J61" s="164"/>
    </row>
    <row r="62" spans="1:10" ht="12.75" customHeight="1" x14ac:dyDescent="0.2">
      <c r="A62" s="161">
        <v>61</v>
      </c>
      <c r="B62" s="209" t="s">
        <v>501</v>
      </c>
      <c r="C62" s="206" t="s">
        <v>39</v>
      </c>
      <c r="D62" s="85">
        <v>320</v>
      </c>
      <c r="E62" s="206" t="s">
        <v>439</v>
      </c>
      <c r="F62" s="167" t="s">
        <v>441</v>
      </c>
      <c r="G62" s="166">
        <v>128</v>
      </c>
      <c r="H62" s="163">
        <f t="shared" si="1"/>
        <v>2.5</v>
      </c>
      <c r="J62" s="164"/>
    </row>
    <row r="63" spans="1:10" ht="12.75" customHeight="1" x14ac:dyDescent="0.2">
      <c r="A63" s="161">
        <v>62</v>
      </c>
      <c r="B63" s="187" t="s">
        <v>540</v>
      </c>
      <c r="C63" s="167" t="s">
        <v>11</v>
      </c>
      <c r="D63" s="168">
        <v>116</v>
      </c>
      <c r="E63" s="169" t="s">
        <v>439</v>
      </c>
      <c r="F63" s="167" t="s">
        <v>441</v>
      </c>
      <c r="G63" s="166">
        <v>128</v>
      </c>
      <c r="H63" s="163">
        <f t="shared" si="1"/>
        <v>0.90625</v>
      </c>
    </row>
    <row r="64" spans="1:10" ht="12.75" customHeight="1" x14ac:dyDescent="0.2">
      <c r="A64" s="161">
        <v>63</v>
      </c>
      <c r="B64" s="180" t="s">
        <v>546</v>
      </c>
      <c r="C64" s="181" t="s">
        <v>29</v>
      </c>
      <c r="D64" s="182">
        <v>30</v>
      </c>
      <c r="E64" s="183" t="s">
        <v>71</v>
      </c>
      <c r="F64" s="181" t="s">
        <v>71</v>
      </c>
      <c r="G64" s="179">
        <v>1</v>
      </c>
      <c r="H64" s="163">
        <f t="shared" si="1"/>
        <v>30</v>
      </c>
    </row>
    <row r="65" spans="1:10" ht="12.75" customHeight="1" x14ac:dyDescent="0.2">
      <c r="A65" s="161">
        <v>64</v>
      </c>
      <c r="B65" s="180" t="s">
        <v>40</v>
      </c>
      <c r="C65" s="181" t="s">
        <v>11</v>
      </c>
      <c r="D65" s="184">
        <v>19</v>
      </c>
      <c r="E65" s="178" t="s">
        <v>439</v>
      </c>
      <c r="F65" s="181" t="s">
        <v>441</v>
      </c>
      <c r="G65" s="179">
        <v>128</v>
      </c>
      <c r="H65" s="163">
        <f t="shared" si="1"/>
        <v>0.1484375</v>
      </c>
    </row>
    <row r="66" spans="1:10" ht="12.75" customHeight="1" x14ac:dyDescent="0.2">
      <c r="A66" s="161">
        <v>65</v>
      </c>
      <c r="B66" s="187" t="s">
        <v>499</v>
      </c>
      <c r="C66" s="167" t="s">
        <v>11</v>
      </c>
      <c r="D66" s="168">
        <v>780</v>
      </c>
      <c r="E66" s="169" t="s">
        <v>439</v>
      </c>
      <c r="F66" s="167" t="s">
        <v>441</v>
      </c>
      <c r="G66" s="166">
        <v>128</v>
      </c>
      <c r="H66" s="163">
        <f t="shared" ref="H66:H97" si="2">IF(G66=0,0,D66/G66)</f>
        <v>6.09375</v>
      </c>
    </row>
    <row r="67" spans="1:10" ht="12.75" customHeight="1" x14ac:dyDescent="0.2">
      <c r="A67" s="161">
        <v>66</v>
      </c>
      <c r="B67" s="177" t="s">
        <v>530</v>
      </c>
      <c r="C67" s="178" t="s">
        <v>3</v>
      </c>
      <c r="D67" s="178">
        <v>2</v>
      </c>
      <c r="E67" s="178" t="s">
        <v>72</v>
      </c>
      <c r="F67" s="178" t="s">
        <v>64</v>
      </c>
      <c r="G67" s="179">
        <f>1362/2000</f>
        <v>0.68100000000000005</v>
      </c>
      <c r="H67" s="163">
        <f t="shared" si="2"/>
        <v>2.9368575624082229</v>
      </c>
      <c r="J67" s="164"/>
    </row>
    <row r="68" spans="1:10" ht="12.75" customHeight="1" x14ac:dyDescent="0.2">
      <c r="A68" s="161">
        <v>67</v>
      </c>
      <c r="B68" s="180" t="s">
        <v>41</v>
      </c>
      <c r="C68" s="181" t="s">
        <v>21</v>
      </c>
      <c r="D68" s="182">
        <v>2.5</v>
      </c>
      <c r="E68" s="183" t="s">
        <v>440</v>
      </c>
      <c r="F68" s="181" t="s">
        <v>440</v>
      </c>
      <c r="G68" s="179">
        <v>1</v>
      </c>
      <c r="H68" s="163">
        <f t="shared" si="2"/>
        <v>2.5</v>
      </c>
      <c r="J68" s="164"/>
    </row>
    <row r="69" spans="1:10" ht="12.75" customHeight="1" x14ac:dyDescent="0.2">
      <c r="A69" s="161">
        <v>68</v>
      </c>
      <c r="B69" s="180" t="s">
        <v>42</v>
      </c>
      <c r="C69" s="181" t="s">
        <v>21</v>
      </c>
      <c r="D69" s="182">
        <v>50</v>
      </c>
      <c r="E69" s="183" t="s">
        <v>439</v>
      </c>
      <c r="F69" s="185" t="s">
        <v>442</v>
      </c>
      <c r="G69" s="179">
        <v>8</v>
      </c>
      <c r="H69" s="163">
        <f t="shared" si="2"/>
        <v>6.25</v>
      </c>
      <c r="J69" s="164"/>
    </row>
    <row r="70" spans="1:10" ht="12.75" customHeight="1" x14ac:dyDescent="0.2">
      <c r="A70" s="161">
        <v>69</v>
      </c>
      <c r="B70" s="177" t="s">
        <v>492</v>
      </c>
      <c r="C70" s="178" t="s">
        <v>11</v>
      </c>
      <c r="D70" s="184">
        <v>75</v>
      </c>
      <c r="E70" s="178" t="s">
        <v>439</v>
      </c>
      <c r="F70" s="178" t="s">
        <v>443</v>
      </c>
      <c r="G70" s="179">
        <v>4</v>
      </c>
      <c r="H70" s="163">
        <f t="shared" si="2"/>
        <v>18.75</v>
      </c>
    </row>
    <row r="71" spans="1:10" ht="12.75" customHeight="1" x14ac:dyDescent="0.2">
      <c r="A71" s="161">
        <v>70</v>
      </c>
      <c r="B71" s="180" t="s">
        <v>43</v>
      </c>
      <c r="C71" s="181" t="s">
        <v>19</v>
      </c>
      <c r="D71" s="182">
        <v>0.6</v>
      </c>
      <c r="E71" s="183" t="s">
        <v>440</v>
      </c>
      <c r="F71" s="181" t="s">
        <v>440</v>
      </c>
      <c r="G71" s="179">
        <v>1</v>
      </c>
      <c r="H71" s="163">
        <f t="shared" si="2"/>
        <v>0.6</v>
      </c>
    </row>
    <row r="72" spans="1:10" ht="12.75" customHeight="1" x14ac:dyDescent="0.2">
      <c r="A72" s="161">
        <v>71</v>
      </c>
      <c r="B72" s="180" t="s">
        <v>44</v>
      </c>
      <c r="C72" s="181" t="s">
        <v>29</v>
      </c>
      <c r="D72" s="182">
        <v>20</v>
      </c>
      <c r="E72" s="183" t="s">
        <v>444</v>
      </c>
      <c r="F72" s="181" t="s">
        <v>444</v>
      </c>
      <c r="G72" s="179">
        <v>1</v>
      </c>
      <c r="H72" s="163">
        <f t="shared" si="2"/>
        <v>20</v>
      </c>
    </row>
    <row r="73" spans="1:10" ht="12.75" customHeight="1" x14ac:dyDescent="0.2">
      <c r="A73" s="161">
        <v>72</v>
      </c>
      <c r="B73" s="180" t="s">
        <v>465</v>
      </c>
      <c r="C73" s="181" t="s">
        <v>21</v>
      </c>
      <c r="D73" s="182">
        <v>190</v>
      </c>
      <c r="E73" s="183" t="s">
        <v>439</v>
      </c>
      <c r="F73" s="181" t="s">
        <v>441</v>
      </c>
      <c r="G73" s="179">
        <v>128</v>
      </c>
      <c r="H73" s="163">
        <f t="shared" si="2"/>
        <v>1.484375</v>
      </c>
    </row>
    <row r="74" spans="1:10" ht="12.75" customHeight="1" x14ac:dyDescent="0.2">
      <c r="A74" s="161">
        <v>73</v>
      </c>
      <c r="B74" s="180" t="s">
        <v>45</v>
      </c>
      <c r="C74" s="181" t="s">
        <v>529</v>
      </c>
      <c r="D74" s="184">
        <v>23</v>
      </c>
      <c r="E74" s="195" t="s">
        <v>439</v>
      </c>
      <c r="F74" s="185" t="s">
        <v>441</v>
      </c>
      <c r="G74" s="179">
        <v>128</v>
      </c>
      <c r="H74" s="163">
        <f t="shared" si="2"/>
        <v>0.1796875</v>
      </c>
      <c r="J74" s="164"/>
    </row>
    <row r="75" spans="1:10" ht="12.75" customHeight="1" x14ac:dyDescent="0.2">
      <c r="A75" s="161">
        <v>74</v>
      </c>
      <c r="B75" s="180" t="s">
        <v>46</v>
      </c>
      <c r="C75" s="181" t="s">
        <v>19</v>
      </c>
      <c r="D75" s="182">
        <v>9</v>
      </c>
      <c r="E75" s="183" t="s">
        <v>438</v>
      </c>
      <c r="F75" s="181" t="s">
        <v>438</v>
      </c>
      <c r="G75" s="179">
        <v>1</v>
      </c>
      <c r="H75" s="163">
        <f t="shared" si="2"/>
        <v>9</v>
      </c>
      <c r="J75" s="164"/>
    </row>
    <row r="76" spans="1:10" ht="12.75" customHeight="1" x14ac:dyDescent="0.2">
      <c r="A76" s="161">
        <v>75</v>
      </c>
      <c r="B76" s="177" t="s">
        <v>462</v>
      </c>
      <c r="C76" s="178" t="s">
        <v>11</v>
      </c>
      <c r="D76" s="184">
        <v>140</v>
      </c>
      <c r="E76" s="178" t="s">
        <v>439</v>
      </c>
      <c r="F76" s="178" t="s">
        <v>441</v>
      </c>
      <c r="G76" s="179">
        <v>128</v>
      </c>
      <c r="H76" s="163">
        <f t="shared" si="2"/>
        <v>1.09375</v>
      </c>
      <c r="J76" s="164"/>
    </row>
    <row r="77" spans="1:10" x14ac:dyDescent="0.2">
      <c r="A77" s="161">
        <v>76</v>
      </c>
      <c r="B77" s="209" t="s">
        <v>560</v>
      </c>
      <c r="C77" s="206" t="s">
        <v>39</v>
      </c>
      <c r="D77" s="85">
        <v>8</v>
      </c>
      <c r="E77" s="206" t="s">
        <v>440</v>
      </c>
      <c r="F77" s="206" t="s">
        <v>440</v>
      </c>
      <c r="G77" s="166">
        <v>1</v>
      </c>
      <c r="H77" s="163">
        <f t="shared" si="2"/>
        <v>8</v>
      </c>
      <c r="J77" s="164"/>
    </row>
    <row r="78" spans="1:10" x14ac:dyDescent="0.2">
      <c r="A78" s="161">
        <v>77</v>
      </c>
      <c r="B78" s="180" t="s">
        <v>47</v>
      </c>
      <c r="C78" s="181" t="s">
        <v>11</v>
      </c>
      <c r="D78" s="184">
        <v>16</v>
      </c>
      <c r="E78" s="178" t="s">
        <v>441</v>
      </c>
      <c r="F78" s="181" t="s">
        <v>441</v>
      </c>
      <c r="G78" s="179">
        <v>1</v>
      </c>
      <c r="H78" s="163">
        <f t="shared" si="2"/>
        <v>16</v>
      </c>
      <c r="J78" s="164"/>
    </row>
    <row r="79" spans="1:10" x14ac:dyDescent="0.2">
      <c r="A79" s="161">
        <v>78</v>
      </c>
      <c r="B79" s="209" t="s">
        <v>559</v>
      </c>
      <c r="C79" s="206" t="s">
        <v>19</v>
      </c>
      <c r="D79" s="85">
        <v>18</v>
      </c>
      <c r="E79" s="206" t="s">
        <v>438</v>
      </c>
      <c r="F79" s="206" t="s">
        <v>438</v>
      </c>
      <c r="G79" s="166">
        <v>1</v>
      </c>
      <c r="H79" s="163">
        <f t="shared" si="2"/>
        <v>18</v>
      </c>
      <c r="J79" s="164"/>
    </row>
    <row r="80" spans="1:10" x14ac:dyDescent="0.2">
      <c r="A80" s="161">
        <v>79</v>
      </c>
      <c r="B80" s="187" t="s">
        <v>541</v>
      </c>
      <c r="C80" s="167" t="s">
        <v>39</v>
      </c>
      <c r="D80" s="168">
        <v>650</v>
      </c>
      <c r="E80" s="169" t="s">
        <v>439</v>
      </c>
      <c r="F80" s="167" t="s">
        <v>441</v>
      </c>
      <c r="G80" s="166">
        <v>128</v>
      </c>
      <c r="H80" s="163">
        <f t="shared" si="2"/>
        <v>5.078125</v>
      </c>
    </row>
    <row r="81" spans="1:10" x14ac:dyDescent="0.2">
      <c r="A81" s="161">
        <v>80</v>
      </c>
      <c r="B81" s="180" t="s">
        <v>463</v>
      </c>
      <c r="C81" s="181" t="s">
        <v>11</v>
      </c>
      <c r="D81" s="184">
        <v>49</v>
      </c>
      <c r="E81" s="178" t="s">
        <v>439</v>
      </c>
      <c r="F81" s="181" t="s">
        <v>442</v>
      </c>
      <c r="G81" s="179">
        <v>8</v>
      </c>
      <c r="H81" s="163">
        <f t="shared" si="2"/>
        <v>6.125</v>
      </c>
      <c r="J81" s="164"/>
    </row>
    <row r="82" spans="1:10" x14ac:dyDescent="0.2">
      <c r="A82" s="161">
        <v>81</v>
      </c>
      <c r="B82" s="180" t="s">
        <v>48</v>
      </c>
      <c r="C82" s="181" t="s">
        <v>11</v>
      </c>
      <c r="D82" s="184">
        <v>480</v>
      </c>
      <c r="E82" s="178" t="s">
        <v>439</v>
      </c>
      <c r="F82" s="181" t="s">
        <v>441</v>
      </c>
      <c r="G82" s="179">
        <v>128</v>
      </c>
      <c r="H82" s="163">
        <f t="shared" si="2"/>
        <v>3.75</v>
      </c>
      <c r="J82" s="164"/>
    </row>
    <row r="83" spans="1:10" x14ac:dyDescent="0.2">
      <c r="A83" s="161">
        <v>82</v>
      </c>
      <c r="B83" s="177" t="s">
        <v>528</v>
      </c>
      <c r="C83" s="178" t="s">
        <v>39</v>
      </c>
      <c r="D83" s="184">
        <v>425</v>
      </c>
      <c r="E83" s="178" t="s">
        <v>439</v>
      </c>
      <c r="F83" s="178" t="s">
        <v>441</v>
      </c>
      <c r="G83" s="179">
        <v>128</v>
      </c>
      <c r="H83" s="163">
        <f t="shared" si="2"/>
        <v>3.3203125</v>
      </c>
      <c r="J83" s="164"/>
    </row>
    <row r="84" spans="1:10" x14ac:dyDescent="0.2">
      <c r="A84" s="161">
        <v>83</v>
      </c>
      <c r="B84" s="180" t="s">
        <v>543</v>
      </c>
      <c r="C84" s="181" t="s">
        <v>39</v>
      </c>
      <c r="D84" s="182">
        <v>280</v>
      </c>
      <c r="E84" s="183" t="s">
        <v>439</v>
      </c>
      <c r="F84" s="181" t="s">
        <v>441</v>
      </c>
      <c r="G84" s="179">
        <v>128</v>
      </c>
      <c r="H84" s="163">
        <f t="shared" si="2"/>
        <v>2.1875</v>
      </c>
      <c r="J84" s="164"/>
    </row>
    <row r="85" spans="1:10" x14ac:dyDescent="0.2">
      <c r="A85" s="161">
        <v>84</v>
      </c>
      <c r="B85" s="177" t="s">
        <v>461</v>
      </c>
      <c r="C85" s="178" t="s">
        <v>11</v>
      </c>
      <c r="D85" s="184">
        <v>610</v>
      </c>
      <c r="E85" s="178" t="s">
        <v>439</v>
      </c>
      <c r="F85" s="178" t="s">
        <v>441</v>
      </c>
      <c r="G85" s="179">
        <v>128</v>
      </c>
      <c r="H85" s="163">
        <f t="shared" si="2"/>
        <v>4.765625</v>
      </c>
      <c r="J85" s="164"/>
    </row>
    <row r="86" spans="1:10" ht="14.25" customHeight="1" x14ac:dyDescent="0.2">
      <c r="A86" s="161">
        <v>85</v>
      </c>
      <c r="B86" s="180" t="s">
        <v>49</v>
      </c>
      <c r="C86" s="181" t="s">
        <v>21</v>
      </c>
      <c r="D86" s="182">
        <v>9.3000000000000007</v>
      </c>
      <c r="E86" s="183" t="s">
        <v>441</v>
      </c>
      <c r="F86" s="181" t="s">
        <v>441</v>
      </c>
      <c r="G86" s="179">
        <v>1</v>
      </c>
      <c r="H86" s="163">
        <f t="shared" si="2"/>
        <v>9.3000000000000007</v>
      </c>
      <c r="J86" s="164"/>
    </row>
    <row r="87" spans="1:10" x14ac:dyDescent="0.2">
      <c r="A87" s="161">
        <v>86</v>
      </c>
      <c r="B87" s="177" t="s">
        <v>533</v>
      </c>
      <c r="C87" s="178" t="s">
        <v>11</v>
      </c>
      <c r="D87" s="85">
        <v>40</v>
      </c>
      <c r="E87" s="178" t="s">
        <v>439</v>
      </c>
      <c r="F87" s="178" t="s">
        <v>441</v>
      </c>
      <c r="G87" s="179">
        <v>128</v>
      </c>
      <c r="H87" s="163">
        <f t="shared" si="2"/>
        <v>0.3125</v>
      </c>
      <c r="J87" s="164"/>
    </row>
    <row r="88" spans="1:10" x14ac:dyDescent="0.2">
      <c r="A88" s="161">
        <v>87</v>
      </c>
      <c r="B88" s="180" t="s">
        <v>50</v>
      </c>
      <c r="C88" s="181" t="s">
        <v>19</v>
      </c>
      <c r="D88" s="182">
        <v>44</v>
      </c>
      <c r="E88" s="183" t="s">
        <v>76</v>
      </c>
      <c r="F88" s="181" t="s">
        <v>76</v>
      </c>
      <c r="G88" s="179">
        <v>1</v>
      </c>
      <c r="H88" s="163">
        <f t="shared" si="2"/>
        <v>44</v>
      </c>
      <c r="J88" s="164"/>
    </row>
    <row r="89" spans="1:10" ht="15" customHeight="1" x14ac:dyDescent="0.2">
      <c r="A89" s="161">
        <v>88</v>
      </c>
      <c r="B89" s="209" t="s">
        <v>575</v>
      </c>
      <c r="C89" s="206" t="s">
        <v>19</v>
      </c>
      <c r="D89" s="85">
        <v>55</v>
      </c>
      <c r="E89" s="206" t="s">
        <v>76</v>
      </c>
      <c r="F89" s="206" t="s">
        <v>76</v>
      </c>
      <c r="G89" s="166">
        <v>1</v>
      </c>
      <c r="H89" s="163">
        <f t="shared" si="2"/>
        <v>55</v>
      </c>
    </row>
    <row r="90" spans="1:10" x14ac:dyDescent="0.2">
      <c r="A90" s="161">
        <v>89</v>
      </c>
      <c r="B90" s="180" t="s">
        <v>495</v>
      </c>
      <c r="C90" s="181" t="s">
        <v>19</v>
      </c>
      <c r="D90" s="182">
        <v>47</v>
      </c>
      <c r="E90" s="183" t="s">
        <v>76</v>
      </c>
      <c r="F90" s="181" t="s">
        <v>76</v>
      </c>
      <c r="G90" s="179">
        <v>1</v>
      </c>
      <c r="H90" s="163">
        <f t="shared" si="2"/>
        <v>47</v>
      </c>
      <c r="J90" s="164"/>
    </row>
    <row r="91" spans="1:10" x14ac:dyDescent="0.2">
      <c r="A91" s="161">
        <v>90</v>
      </c>
      <c r="B91" s="289" t="s">
        <v>576</v>
      </c>
      <c r="C91" s="289" t="s">
        <v>19</v>
      </c>
      <c r="D91" s="285">
        <v>58</v>
      </c>
      <c r="E91" s="289" t="s">
        <v>440</v>
      </c>
      <c r="F91" s="289" t="s">
        <v>440</v>
      </c>
      <c r="G91" s="166">
        <v>1</v>
      </c>
      <c r="H91" s="163">
        <f t="shared" si="2"/>
        <v>58</v>
      </c>
      <c r="J91" s="164"/>
    </row>
    <row r="92" spans="1:10" x14ac:dyDescent="0.2">
      <c r="A92" s="161">
        <v>91</v>
      </c>
      <c r="B92" s="281" t="s">
        <v>500</v>
      </c>
      <c r="C92" s="282" t="s">
        <v>11</v>
      </c>
      <c r="D92" s="283">
        <v>40</v>
      </c>
      <c r="E92" s="284" t="s">
        <v>439</v>
      </c>
      <c r="F92" s="282" t="s">
        <v>443</v>
      </c>
      <c r="G92" s="166">
        <v>4</v>
      </c>
      <c r="H92" s="163">
        <f t="shared" si="2"/>
        <v>10</v>
      </c>
      <c r="J92" s="164"/>
    </row>
    <row r="93" spans="1:10" x14ac:dyDescent="0.2">
      <c r="A93" s="161">
        <v>92</v>
      </c>
      <c r="B93" s="204" t="s">
        <v>453</v>
      </c>
      <c r="C93" s="178" t="s">
        <v>409</v>
      </c>
      <c r="D93" s="258">
        <v>10</v>
      </c>
      <c r="E93" s="204" t="s">
        <v>71</v>
      </c>
      <c r="F93" s="178" t="s">
        <v>71</v>
      </c>
      <c r="G93" s="179">
        <v>1</v>
      </c>
      <c r="H93" s="163">
        <f t="shared" si="2"/>
        <v>10</v>
      </c>
      <c r="J93" s="164"/>
    </row>
    <row r="94" spans="1:10" x14ac:dyDescent="0.2">
      <c r="A94" s="161">
        <v>93</v>
      </c>
      <c r="B94" s="204" t="s">
        <v>474</v>
      </c>
      <c r="C94" s="178" t="s">
        <v>409</v>
      </c>
      <c r="D94" s="258">
        <v>7</v>
      </c>
      <c r="E94" s="204" t="s">
        <v>71</v>
      </c>
      <c r="F94" s="178" t="s">
        <v>71</v>
      </c>
      <c r="G94" s="179">
        <v>1</v>
      </c>
      <c r="H94" s="163">
        <f t="shared" si="2"/>
        <v>7</v>
      </c>
      <c r="J94" s="164"/>
    </row>
    <row r="95" spans="1:10" x14ac:dyDescent="0.2">
      <c r="A95" s="161">
        <v>94</v>
      </c>
      <c r="B95" s="178" t="s">
        <v>478</v>
      </c>
      <c r="C95" s="178" t="s">
        <v>409</v>
      </c>
      <c r="D95" s="258">
        <v>7</v>
      </c>
      <c r="E95" s="204" t="s">
        <v>71</v>
      </c>
      <c r="F95" s="178" t="s">
        <v>71</v>
      </c>
      <c r="G95" s="179">
        <v>1</v>
      </c>
      <c r="H95" s="163">
        <f t="shared" si="2"/>
        <v>7</v>
      </c>
      <c r="J95" s="164"/>
    </row>
    <row r="96" spans="1:10" x14ac:dyDescent="0.2">
      <c r="A96" s="161">
        <v>95</v>
      </c>
      <c r="B96" s="204" t="s">
        <v>455</v>
      </c>
      <c r="C96" s="204" t="s">
        <v>409</v>
      </c>
      <c r="D96" s="258">
        <v>7</v>
      </c>
      <c r="E96" s="204" t="s">
        <v>71</v>
      </c>
      <c r="F96" s="204" t="s">
        <v>71</v>
      </c>
      <c r="G96" s="179">
        <v>1</v>
      </c>
      <c r="H96" s="163">
        <f t="shared" si="2"/>
        <v>7</v>
      </c>
      <c r="J96" s="164"/>
    </row>
    <row r="97" spans="1:10" x14ac:dyDescent="0.2">
      <c r="A97" s="161">
        <v>96</v>
      </c>
      <c r="B97" s="178" t="s">
        <v>451</v>
      </c>
      <c r="C97" s="178" t="s">
        <v>409</v>
      </c>
      <c r="D97" s="184">
        <v>10</v>
      </c>
      <c r="E97" s="178" t="s">
        <v>71</v>
      </c>
      <c r="F97" s="178" t="s">
        <v>71</v>
      </c>
      <c r="G97" s="179">
        <v>1</v>
      </c>
      <c r="H97" s="163">
        <f t="shared" si="2"/>
        <v>10</v>
      </c>
      <c r="J97" s="164"/>
    </row>
    <row r="98" spans="1:10" x14ac:dyDescent="0.2">
      <c r="A98" s="161">
        <v>97</v>
      </c>
      <c r="B98" s="178" t="s">
        <v>452</v>
      </c>
      <c r="C98" s="178" t="s">
        <v>409</v>
      </c>
      <c r="D98" s="184">
        <v>10</v>
      </c>
      <c r="E98" s="178" t="s">
        <v>71</v>
      </c>
      <c r="F98" s="178" t="s">
        <v>71</v>
      </c>
      <c r="G98" s="179">
        <v>1</v>
      </c>
      <c r="H98" s="163">
        <f t="shared" ref="H98:H123" si="3">IF(G98=0,0,D98/G98)</f>
        <v>10</v>
      </c>
      <c r="J98" s="164"/>
    </row>
    <row r="99" spans="1:10" x14ac:dyDescent="0.2">
      <c r="A99" s="161">
        <v>98</v>
      </c>
      <c r="B99" s="204" t="s">
        <v>454</v>
      </c>
      <c r="C99" s="204" t="s">
        <v>409</v>
      </c>
      <c r="D99" s="258">
        <v>16</v>
      </c>
      <c r="E99" s="204" t="s">
        <v>71</v>
      </c>
      <c r="F99" s="204" t="s">
        <v>71</v>
      </c>
      <c r="G99" s="179">
        <v>1</v>
      </c>
      <c r="H99" s="163">
        <f t="shared" si="3"/>
        <v>16</v>
      </c>
      <c r="J99" s="164"/>
    </row>
    <row r="100" spans="1:10" x14ac:dyDescent="0.2">
      <c r="A100" s="161">
        <v>99</v>
      </c>
      <c r="B100" s="301" t="s">
        <v>456</v>
      </c>
      <c r="C100" s="282" t="s">
        <v>409</v>
      </c>
      <c r="D100" s="283">
        <v>8</v>
      </c>
      <c r="E100" s="284" t="s">
        <v>71</v>
      </c>
      <c r="F100" s="282" t="s">
        <v>71</v>
      </c>
      <c r="G100" s="166">
        <v>1</v>
      </c>
      <c r="H100" s="163">
        <f t="shared" si="3"/>
        <v>8</v>
      </c>
      <c r="J100" s="164"/>
    </row>
    <row r="101" spans="1:10" x14ac:dyDescent="0.2">
      <c r="A101" s="161">
        <v>100</v>
      </c>
      <c r="B101" s="189" t="s">
        <v>51</v>
      </c>
      <c r="C101" s="205" t="s">
        <v>34</v>
      </c>
      <c r="D101" s="207">
        <v>13</v>
      </c>
      <c r="E101" s="208" t="s">
        <v>71</v>
      </c>
      <c r="F101" s="205" t="s">
        <v>71</v>
      </c>
      <c r="G101" s="179">
        <v>1</v>
      </c>
      <c r="H101" s="163">
        <f t="shared" si="3"/>
        <v>13</v>
      </c>
      <c r="J101" s="164"/>
    </row>
    <row r="102" spans="1:10" x14ac:dyDescent="0.2">
      <c r="A102" s="161">
        <v>101</v>
      </c>
      <c r="B102" s="189" t="s">
        <v>52</v>
      </c>
      <c r="C102" s="205" t="s">
        <v>11</v>
      </c>
      <c r="D102" s="258">
        <v>110</v>
      </c>
      <c r="E102" s="204" t="s">
        <v>439</v>
      </c>
      <c r="F102" s="205" t="s">
        <v>441</v>
      </c>
      <c r="G102" s="179">
        <v>128</v>
      </c>
      <c r="H102" s="163">
        <f t="shared" si="3"/>
        <v>0.859375</v>
      </c>
      <c r="J102" s="164"/>
    </row>
    <row r="103" spans="1:10" x14ac:dyDescent="0.2">
      <c r="A103" s="161">
        <v>102</v>
      </c>
      <c r="B103" s="289" t="s">
        <v>561</v>
      </c>
      <c r="C103" s="289" t="s">
        <v>11</v>
      </c>
      <c r="D103" s="285">
        <v>830</v>
      </c>
      <c r="E103" s="289" t="s">
        <v>439</v>
      </c>
      <c r="F103" s="289" t="s">
        <v>441</v>
      </c>
      <c r="G103" s="166">
        <v>128</v>
      </c>
      <c r="H103" s="163">
        <f t="shared" si="3"/>
        <v>6.484375</v>
      </c>
      <c r="J103" s="164"/>
    </row>
    <row r="104" spans="1:10" x14ac:dyDescent="0.2">
      <c r="A104" s="161">
        <v>103</v>
      </c>
      <c r="B104" s="189" t="s">
        <v>53</v>
      </c>
      <c r="C104" s="205" t="s">
        <v>19</v>
      </c>
      <c r="D104" s="207">
        <v>3</v>
      </c>
      <c r="E104" s="208" t="s">
        <v>440</v>
      </c>
      <c r="F104" s="205" t="s">
        <v>440</v>
      </c>
      <c r="G104" s="179">
        <v>1</v>
      </c>
      <c r="H104" s="163">
        <f t="shared" si="3"/>
        <v>3</v>
      </c>
      <c r="J104" s="164"/>
    </row>
    <row r="105" spans="1:10" x14ac:dyDescent="0.2">
      <c r="A105" s="161">
        <v>104</v>
      </c>
      <c r="B105" s="189" t="s">
        <v>54</v>
      </c>
      <c r="C105" s="205" t="s">
        <v>19</v>
      </c>
      <c r="D105" s="207">
        <v>1.2</v>
      </c>
      <c r="E105" s="208" t="s">
        <v>440</v>
      </c>
      <c r="F105" s="205" t="s">
        <v>440</v>
      </c>
      <c r="G105" s="179">
        <v>1</v>
      </c>
      <c r="H105" s="163">
        <f t="shared" si="3"/>
        <v>1.2</v>
      </c>
      <c r="J105" s="164"/>
    </row>
    <row r="106" spans="1:10" x14ac:dyDescent="0.2">
      <c r="A106" s="161">
        <v>105</v>
      </c>
      <c r="B106" s="189" t="s">
        <v>399</v>
      </c>
      <c r="C106" s="205" t="s">
        <v>11</v>
      </c>
      <c r="D106" s="258">
        <v>750</v>
      </c>
      <c r="E106" s="204" t="s">
        <v>439</v>
      </c>
      <c r="F106" s="205" t="s">
        <v>441</v>
      </c>
      <c r="G106" s="179">
        <v>128</v>
      </c>
      <c r="H106" s="163">
        <f t="shared" si="3"/>
        <v>5.859375</v>
      </c>
      <c r="J106" s="164"/>
    </row>
    <row r="107" spans="1:10" x14ac:dyDescent="0.2">
      <c r="A107" s="161">
        <v>106</v>
      </c>
      <c r="B107" s="189" t="s">
        <v>55</v>
      </c>
      <c r="C107" s="205" t="s">
        <v>11</v>
      </c>
      <c r="D107" s="258">
        <v>14</v>
      </c>
      <c r="E107" s="204" t="s">
        <v>441</v>
      </c>
      <c r="F107" s="205" t="s">
        <v>441</v>
      </c>
      <c r="G107" s="179">
        <v>1</v>
      </c>
      <c r="H107" s="163">
        <f t="shared" si="3"/>
        <v>14</v>
      </c>
      <c r="J107" s="164"/>
    </row>
    <row r="108" spans="1:10" x14ac:dyDescent="0.2">
      <c r="A108" s="161">
        <v>107</v>
      </c>
      <c r="B108" s="189" t="s">
        <v>56</v>
      </c>
      <c r="C108" s="205" t="s">
        <v>3</v>
      </c>
      <c r="D108" s="207">
        <v>7</v>
      </c>
      <c r="E108" s="208" t="s">
        <v>71</v>
      </c>
      <c r="F108" s="205" t="s">
        <v>71</v>
      </c>
      <c r="G108" s="179">
        <v>1</v>
      </c>
      <c r="H108" s="163">
        <f t="shared" si="3"/>
        <v>7</v>
      </c>
      <c r="J108" s="164"/>
    </row>
    <row r="109" spans="1:10" x14ac:dyDescent="0.2">
      <c r="A109" s="161">
        <v>108</v>
      </c>
      <c r="B109" s="289" t="s">
        <v>498</v>
      </c>
      <c r="C109" s="289" t="s">
        <v>11</v>
      </c>
      <c r="D109" s="285">
        <v>3.9</v>
      </c>
      <c r="E109" s="289" t="s">
        <v>441</v>
      </c>
      <c r="F109" s="289" t="s">
        <v>441</v>
      </c>
      <c r="G109" s="166">
        <v>1</v>
      </c>
      <c r="H109" s="163">
        <f t="shared" si="3"/>
        <v>3.9</v>
      </c>
      <c r="J109" s="164"/>
    </row>
    <row r="110" spans="1:10" x14ac:dyDescent="0.2">
      <c r="A110" s="161">
        <v>109</v>
      </c>
      <c r="B110" s="281" t="s">
        <v>539</v>
      </c>
      <c r="C110" s="282" t="s">
        <v>39</v>
      </c>
      <c r="D110" s="285">
        <v>720</v>
      </c>
      <c r="E110" s="284" t="s">
        <v>439</v>
      </c>
      <c r="F110" s="282" t="s">
        <v>441</v>
      </c>
      <c r="G110" s="166">
        <v>128</v>
      </c>
      <c r="H110" s="163">
        <f t="shared" si="3"/>
        <v>5.625</v>
      </c>
      <c r="J110" s="164"/>
    </row>
    <row r="111" spans="1:10" x14ac:dyDescent="0.2">
      <c r="A111" s="161">
        <v>110</v>
      </c>
      <c r="B111" s="189" t="s">
        <v>57</v>
      </c>
      <c r="C111" s="205" t="s">
        <v>19</v>
      </c>
      <c r="D111" s="207">
        <v>180</v>
      </c>
      <c r="E111" s="208" t="s">
        <v>71</v>
      </c>
      <c r="F111" s="205" t="s">
        <v>71</v>
      </c>
      <c r="G111" s="179">
        <v>1</v>
      </c>
      <c r="H111" s="163">
        <f t="shared" si="3"/>
        <v>180</v>
      </c>
    </row>
    <row r="112" spans="1:10" x14ac:dyDescent="0.2">
      <c r="A112" s="161">
        <v>111</v>
      </c>
      <c r="B112" s="189" t="s">
        <v>58</v>
      </c>
      <c r="C112" s="205" t="s">
        <v>19</v>
      </c>
      <c r="D112" s="207">
        <v>1.05</v>
      </c>
      <c r="E112" s="208" t="s">
        <v>440</v>
      </c>
      <c r="F112" s="181" t="s">
        <v>440</v>
      </c>
      <c r="G112" s="179">
        <v>1</v>
      </c>
      <c r="H112" s="163">
        <f t="shared" si="3"/>
        <v>1.05</v>
      </c>
    </row>
    <row r="113" spans="1:8" x14ac:dyDescent="0.2">
      <c r="A113" s="161">
        <v>112</v>
      </c>
      <c r="B113" s="180" t="s">
        <v>59</v>
      </c>
      <c r="C113" s="181" t="s">
        <v>39</v>
      </c>
      <c r="D113" s="182">
        <v>105</v>
      </c>
      <c r="E113" s="183" t="s">
        <v>439</v>
      </c>
      <c r="F113" s="185" t="s">
        <v>441</v>
      </c>
      <c r="G113" s="179">
        <v>128</v>
      </c>
      <c r="H113" s="163">
        <f t="shared" si="3"/>
        <v>0.8203125</v>
      </c>
    </row>
    <row r="114" spans="1:8" x14ac:dyDescent="0.2">
      <c r="A114" s="161">
        <v>113</v>
      </c>
      <c r="B114" s="189" t="s">
        <v>60</v>
      </c>
      <c r="C114" s="205" t="s">
        <v>29</v>
      </c>
      <c r="D114" s="207">
        <v>0.7</v>
      </c>
      <c r="E114" s="208" t="s">
        <v>72</v>
      </c>
      <c r="F114" s="205" t="s">
        <v>64</v>
      </c>
      <c r="G114" s="179">
        <f>1539/2000</f>
        <v>0.76949999999999996</v>
      </c>
      <c r="H114" s="163">
        <f t="shared" si="3"/>
        <v>0.90968161143599735</v>
      </c>
    </row>
    <row r="115" spans="1:8" x14ac:dyDescent="0.2">
      <c r="A115" s="161">
        <v>114</v>
      </c>
      <c r="B115" s="189" t="s">
        <v>61</v>
      </c>
      <c r="C115" s="205" t="s">
        <v>29</v>
      </c>
      <c r="D115" s="207">
        <v>1.23</v>
      </c>
      <c r="E115" s="208" t="s">
        <v>72</v>
      </c>
      <c r="F115" s="205" t="s">
        <v>64</v>
      </c>
      <c r="G115" s="179">
        <f>1362/2000</f>
        <v>0.68100000000000005</v>
      </c>
      <c r="H115" s="163">
        <f t="shared" si="3"/>
        <v>1.8061674008810571</v>
      </c>
    </row>
    <row r="116" spans="1:8" x14ac:dyDescent="0.2">
      <c r="A116" s="161">
        <v>115</v>
      </c>
      <c r="B116" s="189" t="s">
        <v>62</v>
      </c>
      <c r="C116" s="205" t="s">
        <v>29</v>
      </c>
      <c r="D116" s="207">
        <f>30/450</f>
        <v>6.6666666666666666E-2</v>
      </c>
      <c r="E116" s="208" t="s">
        <v>72</v>
      </c>
      <c r="F116" s="205" t="s">
        <v>64</v>
      </c>
      <c r="G116" s="179">
        <f>60/2000</f>
        <v>0.03</v>
      </c>
      <c r="H116" s="163">
        <f t="shared" si="3"/>
        <v>2.2222222222222223</v>
      </c>
    </row>
    <row r="117" spans="1:8" x14ac:dyDescent="0.2">
      <c r="A117" s="161">
        <v>116</v>
      </c>
      <c r="B117" s="189" t="s">
        <v>63</v>
      </c>
      <c r="C117" s="205" t="s">
        <v>7</v>
      </c>
      <c r="D117" s="207">
        <v>1</v>
      </c>
      <c r="E117" s="208" t="s">
        <v>64</v>
      </c>
      <c r="F117" s="205" t="s">
        <v>64</v>
      </c>
      <c r="G117" s="179">
        <v>1</v>
      </c>
      <c r="H117" s="163">
        <f t="shared" si="3"/>
        <v>1</v>
      </c>
    </row>
    <row r="118" spans="1:8" x14ac:dyDescent="0.2">
      <c r="A118" s="161">
        <v>117</v>
      </c>
      <c r="B118" s="281" t="s">
        <v>502</v>
      </c>
      <c r="C118" s="282" t="s">
        <v>11</v>
      </c>
      <c r="D118" s="283">
        <v>83</v>
      </c>
      <c r="E118" s="284" t="s">
        <v>440</v>
      </c>
      <c r="F118" s="282" t="s">
        <v>441</v>
      </c>
      <c r="G118" s="166">
        <v>16</v>
      </c>
      <c r="H118" s="163">
        <f t="shared" si="3"/>
        <v>5.1875</v>
      </c>
    </row>
    <row r="119" spans="1:8" x14ac:dyDescent="0.2">
      <c r="A119" s="161">
        <v>118</v>
      </c>
      <c r="B119" s="204" t="s">
        <v>554</v>
      </c>
      <c r="C119" s="204" t="s">
        <v>11</v>
      </c>
      <c r="D119" s="258">
        <v>35</v>
      </c>
      <c r="E119" s="204" t="s">
        <v>440</v>
      </c>
      <c r="F119" s="204" t="s">
        <v>440</v>
      </c>
      <c r="G119" s="179">
        <v>1</v>
      </c>
      <c r="H119" s="163">
        <f t="shared" si="3"/>
        <v>35</v>
      </c>
    </row>
    <row r="120" spans="1:8" x14ac:dyDescent="0.2">
      <c r="A120" s="161">
        <v>119</v>
      </c>
      <c r="B120" s="289" t="s">
        <v>558</v>
      </c>
      <c r="C120" s="289" t="s">
        <v>11</v>
      </c>
      <c r="D120" s="285">
        <v>500</v>
      </c>
      <c r="E120" s="289" t="s">
        <v>439</v>
      </c>
      <c r="F120" s="289" t="s">
        <v>441</v>
      </c>
      <c r="G120" s="166">
        <v>128</v>
      </c>
      <c r="H120" s="163">
        <f t="shared" si="3"/>
        <v>3.90625</v>
      </c>
    </row>
    <row r="121" spans="1:8" x14ac:dyDescent="0.2">
      <c r="A121" s="161">
        <v>120</v>
      </c>
      <c r="B121" s="189" t="s">
        <v>426</v>
      </c>
      <c r="C121" s="205" t="s">
        <v>21</v>
      </c>
      <c r="D121" s="207">
        <v>380</v>
      </c>
      <c r="E121" s="208" t="s">
        <v>439</v>
      </c>
      <c r="F121" s="205" t="s">
        <v>441</v>
      </c>
      <c r="G121" s="179">
        <v>128</v>
      </c>
      <c r="H121" s="163">
        <f t="shared" si="3"/>
        <v>2.96875</v>
      </c>
    </row>
    <row r="122" spans="1:8" x14ac:dyDescent="0.2">
      <c r="A122" s="161">
        <v>121</v>
      </c>
      <c r="B122" s="172" t="s">
        <v>592</v>
      </c>
      <c r="C122" s="172" t="s">
        <v>19</v>
      </c>
      <c r="D122" s="170">
        <v>0.12</v>
      </c>
      <c r="E122" s="172" t="s">
        <v>440</v>
      </c>
      <c r="F122" s="172" t="s">
        <v>440</v>
      </c>
      <c r="G122" s="299">
        <v>1</v>
      </c>
      <c r="H122" s="300">
        <f t="shared" si="3"/>
        <v>0.12</v>
      </c>
    </row>
    <row r="123" spans="1:8" x14ac:dyDescent="0.2">
      <c r="A123" s="161">
        <v>122</v>
      </c>
      <c r="B123" s="69" t="s">
        <v>544</v>
      </c>
      <c r="C123" s="69" t="s">
        <v>19</v>
      </c>
      <c r="D123" s="285">
        <v>0.28000000000000003</v>
      </c>
      <c r="E123" s="69" t="s">
        <v>440</v>
      </c>
      <c r="F123" s="282" t="s">
        <v>440</v>
      </c>
      <c r="G123" s="299">
        <v>1</v>
      </c>
      <c r="H123" s="300">
        <f t="shared" si="3"/>
        <v>0.28000000000000003</v>
      </c>
    </row>
    <row r="124" spans="1:8" x14ac:dyDescent="0.2">
      <c r="A124" s="161">
        <v>123</v>
      </c>
    </row>
    <row r="125" spans="1:8" x14ac:dyDescent="0.2">
      <c r="A125" s="161">
        <v>124</v>
      </c>
    </row>
    <row r="126" spans="1:8" x14ac:dyDescent="0.2">
      <c r="A126" s="161">
        <v>125</v>
      </c>
    </row>
  </sheetData>
  <pageMargins left="0.7" right="0.7" top="0.75" bottom="0.75" header="0.3" footer="0.3"/>
  <pageSetup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3">
    <pageSetUpPr fitToPage="1"/>
  </sheetPr>
  <dimension ref="A2:O231"/>
  <sheetViews>
    <sheetView tabSelected="1" workbookViewId="0"/>
  </sheetViews>
  <sheetFormatPr defaultRowHeight="12.75" x14ac:dyDescent="0.2"/>
  <cols>
    <col min="1" max="1" width="5.140625" style="20" customWidth="1"/>
    <col min="2" max="2" width="27.28515625" style="20" customWidth="1"/>
    <col min="3" max="3" width="7.28515625" style="20" customWidth="1"/>
    <col min="4" max="4" width="4.7109375" style="20" customWidth="1"/>
    <col min="5" max="5" width="9.140625" style="20"/>
    <col min="6" max="6" width="11.140625" style="20" customWidth="1"/>
    <col min="7" max="7" width="8" style="20" customWidth="1"/>
    <col min="8" max="8" width="7.7109375" style="20" customWidth="1"/>
    <col min="9" max="9" width="9.140625" style="20" customWidth="1"/>
    <col min="10" max="10" width="9.140625" style="20"/>
    <col min="11" max="11" width="8.7109375" style="20" customWidth="1"/>
    <col min="12" max="16384" width="9.140625" style="20"/>
  </cols>
  <sheetData>
    <row r="2" spans="1:15" ht="14.25" hidden="1" customHeight="1" x14ac:dyDescent="0.2">
      <c r="A2" s="193" t="s">
        <v>563</v>
      </c>
      <c r="B2" s="32"/>
      <c r="C2" s="33"/>
      <c r="D2" s="33"/>
      <c r="E2" s="32"/>
      <c r="F2" s="200" t="s">
        <v>103</v>
      </c>
      <c r="G2" s="32"/>
      <c r="J2" s="23"/>
      <c r="K2" s="24" t="str">
        <f>'General Variables'!A3&amp;" "&amp;'General Variables'!B3</f>
        <v>Year 2015</v>
      </c>
      <c r="O2" s="39" t="s">
        <v>460</v>
      </c>
    </row>
    <row r="3" spans="1:15" hidden="1" x14ac:dyDescent="0.2">
      <c r="A3" s="193" t="s">
        <v>102</v>
      </c>
      <c r="B3" s="32"/>
      <c r="C3" s="33"/>
      <c r="D3" s="33"/>
      <c r="E3" s="32"/>
      <c r="F3" s="33"/>
      <c r="G3" s="38"/>
      <c r="H3" s="201">
        <v>22</v>
      </c>
      <c r="I3" s="32" t="str">
        <f>IF(H3="","","acre-inches")</f>
        <v>acre-inches</v>
      </c>
      <c r="J3" s="23"/>
      <c r="K3" s="23"/>
      <c r="O3" s="39" t="s">
        <v>459</v>
      </c>
    </row>
    <row r="4" spans="1:15" hidden="1" x14ac:dyDescent="0.2">
      <c r="A4" s="193">
        <v>6.6</v>
      </c>
      <c r="B4" s="193" t="s">
        <v>64</v>
      </c>
      <c r="C4" s="33"/>
      <c r="D4" s="33"/>
      <c r="E4" s="32"/>
      <c r="F4" s="32"/>
      <c r="G4" s="32"/>
      <c r="H4" s="32"/>
      <c r="I4" s="32"/>
      <c r="J4" s="23"/>
      <c r="K4" s="23"/>
      <c r="O4" s="39" t="str">
        <f>B4</f>
        <v>ton</v>
      </c>
    </row>
    <row r="5" spans="1:15" ht="30" customHeight="1" x14ac:dyDescent="0.25">
      <c r="A5" s="334" t="str">
        <f>'General Variables'!B3 &amp; " " &amp; A2 &amp; ", " &amp; A3 &amp; IF(A4=""," ", " (") &amp; A4 &amp; " " &amp; B4 &amp; IF(A4="",""," Actual Yield)")</f>
        <v>2015 Budget 13. Alfalfa, Large Square (6.6 ton Actual Yield)</v>
      </c>
      <c r="B5" s="334"/>
      <c r="C5" s="334"/>
      <c r="D5" s="334"/>
      <c r="E5" s="334"/>
      <c r="F5" s="334"/>
      <c r="G5" s="334"/>
      <c r="H5" s="334"/>
      <c r="I5" s="334"/>
      <c r="J5" s="334"/>
      <c r="K5" s="334"/>
      <c r="L5" s="334"/>
      <c r="O5" s="39"/>
    </row>
    <row r="6" spans="1:15" ht="15.75" x14ac:dyDescent="0.25">
      <c r="A6" s="194" t="str">
        <f>IF(F2="Dryland","Dryland",F2 &amp; IF(G2="","",", "&amp;G2)&amp;IF(H3="","",", "&amp;H3&amp;" "&amp;I3))</f>
        <v>Canal Irrigated, 22 acre-inches</v>
      </c>
      <c r="B6" s="193"/>
      <c r="C6" s="33"/>
      <c r="D6" s="33"/>
      <c r="E6" s="32"/>
      <c r="F6" s="32"/>
      <c r="G6" s="32"/>
      <c r="H6" s="32"/>
      <c r="I6" s="32"/>
      <c r="J6" s="262" t="s">
        <v>570</v>
      </c>
      <c r="K6" s="290"/>
      <c r="O6" s="39"/>
    </row>
    <row r="8" spans="1:15" s="40" customFormat="1" ht="22.5" customHeight="1" x14ac:dyDescent="0.2">
      <c r="B8" s="330" t="s">
        <v>80</v>
      </c>
      <c r="C8" s="329" t="s">
        <v>1</v>
      </c>
      <c r="D8" s="196"/>
      <c r="E8" s="329" t="str">
        <f>"Labor @ $" &amp;TEXT('General Variables'!B4,"#.00")&amp; " /Hr"</f>
        <v>Labor @ $20.00 /Hr</v>
      </c>
      <c r="F8" s="329" t="str">
        <f>"Fuel @ $" &amp; TEXT('General Variables'!B5,"#.00") &amp; " and Lube"</f>
        <v>Fuel @ $3.25 and Lube</v>
      </c>
      <c r="G8" s="332" t="s">
        <v>81</v>
      </c>
      <c r="H8" s="332"/>
      <c r="I8" s="332" t="s">
        <v>382</v>
      </c>
      <c r="J8" s="332"/>
      <c r="K8" s="332" t="s">
        <v>2</v>
      </c>
      <c r="L8" s="329" t="s">
        <v>402</v>
      </c>
    </row>
    <row r="9" spans="1:15" s="40" customFormat="1" ht="17.25" customHeight="1" thickBot="1" x14ac:dyDescent="0.25">
      <c r="B9" s="331"/>
      <c r="C9" s="328"/>
      <c r="D9" s="197" t="s">
        <v>77</v>
      </c>
      <c r="E9" s="328"/>
      <c r="F9" s="328"/>
      <c r="G9" s="198" t="s">
        <v>82</v>
      </c>
      <c r="H9" s="198" t="s">
        <v>84</v>
      </c>
      <c r="I9" s="198" t="s">
        <v>82</v>
      </c>
      <c r="J9" s="198" t="s">
        <v>84</v>
      </c>
      <c r="K9" s="333"/>
      <c r="L9" s="328"/>
    </row>
    <row r="10" spans="1:15" ht="13.5" thickTop="1" x14ac:dyDescent="0.2">
      <c r="A10" s="199">
        <v>1</v>
      </c>
      <c r="B10" s="173" t="s">
        <v>320</v>
      </c>
      <c r="C10" s="67">
        <v>1</v>
      </c>
      <c r="D10" s="175"/>
      <c r="E10" s="35">
        <f>IF(B10=0,"",IF(C10&gt;9999,"",ROUND('General Variables'!$B$4*VLOOKUP(B10,Operations[],10,FALSE)/VLOOKUP(B10,Operations[],9,FALSE)*C10,2)))</f>
        <v>1.57</v>
      </c>
      <c r="F10" s="35">
        <f>IF(B10=0,0,IF(C10&gt;9999,"",ROUND(IF(VLOOKUP(B10,Operations[],12,FALSE)=0,VLOOKUP(B10,Operations[],13,FALSE)*'General Variables'!$B$8,VLOOKUP(B10,Operations[],12,FALSE)*'General Variables'!$B$7)/VLOOKUP(B10,Operations[],9,FALSE)*C10,2)))</f>
        <v>1.1399999999999999</v>
      </c>
      <c r="G10" s="35">
        <f>IF(B10=0,0,IF(C10&gt;9999,"",ROUND(VLOOKUP(VLOOKUP(B10,Operations[],11,FALSE),PowerUnits[],10,FALSE)/VLOOKUP(B10,Operations[],9,FALSE)*C10,2)))</f>
        <v>0.65</v>
      </c>
      <c r="H10" s="35">
        <f>IF(B10=0,"",IF(C10&gt;9999,"",ROUND(VLOOKUP($B10,Operations[],15,FALSE)*C10,2)))</f>
        <v>0</v>
      </c>
      <c r="I10" s="35">
        <f>IF(B10=0,0,IF(C10&gt;9999,"",ROUND(VLOOKUP(VLOOKUP(B10,Operations[],11,FALSE),PowerUnits[],16,FALSE)/VLOOKUP(B10,Operations[],9,FALSE)*C10,2)))</f>
        <v>2.15</v>
      </c>
      <c r="J10" s="35">
        <f>IF(B10=0,"",IF(C10&gt;9999,"",ROUND(VLOOKUP($B10,Operations[],21,FALSE)*$C10,2)))</f>
        <v>0</v>
      </c>
      <c r="K10" s="35">
        <f>IF(C10&gt;9999,"",ROUND(SUM(E10:J10),2))</f>
        <v>5.51</v>
      </c>
      <c r="L10" s="41"/>
    </row>
    <row r="11" spans="1:15" x14ac:dyDescent="0.2">
      <c r="A11" s="199">
        <v>2</v>
      </c>
      <c r="B11" s="173" t="s">
        <v>323</v>
      </c>
      <c r="C11" s="67">
        <v>4</v>
      </c>
      <c r="D11" s="175"/>
      <c r="E11" s="35">
        <f>IF(B11=0,"",IF(C11&gt;9999,"",ROUND('General Variables'!$B$4*VLOOKUP(B11,Operations[],10,FALSE)/VLOOKUP(B11,Operations[],9,FALSE)*C11,2)))</f>
        <v>10</v>
      </c>
      <c r="F11" s="35">
        <f>IF(B11=0,0,IF(C11&gt;9999,"",ROUND(IF(VLOOKUP(B11,Operations[],12,FALSE)=0,VLOOKUP(B11,Operations[],13,FALSE)*'General Variables'!$B$8,VLOOKUP(B11,Operations[],12,FALSE)*'General Variables'!$B$7)/VLOOKUP(B11,Operations[],9,FALSE)*C11,2)))</f>
        <v>9.34</v>
      </c>
      <c r="G11" s="35">
        <f>IF(B11=0,0,IF(C11&gt;9999,"",ROUND(VLOOKUP(VLOOKUP(B11,Operations[],11,FALSE),PowerUnits[],10,FALSE)/VLOOKUP(B11,Operations[],9,FALSE)*C11,2)))</f>
        <v>8.75</v>
      </c>
      <c r="H11" s="35">
        <f>IF(B11=0,"",IF(C11&gt;9999,"",ROUND(VLOOKUP($B11,Operations[],15,FALSE)*C11,2)))</f>
        <v>1.1499999999999999</v>
      </c>
      <c r="I11" s="35">
        <f>IF(B11=0,0,IF(C11&gt;9999,"",ROUND(VLOOKUP(VLOOKUP(B11,Operations[],11,FALSE),PowerUnits[],16,FALSE)/VLOOKUP(B11,Operations[],9,FALSE)*C11,2)))</f>
        <v>13.84</v>
      </c>
      <c r="J11" s="35">
        <f>IF(B11=0,"",IF(C11&gt;9999,"",ROUND(VLOOKUP($B11,Operations[],21,FALSE)*$C11,2)))</f>
        <v>1.73</v>
      </c>
      <c r="K11" s="35">
        <f t="shared" ref="K11:K29" si="0">IF(C11&gt;9999,"",ROUND(SUM(E11:J11),2))</f>
        <v>44.81</v>
      </c>
      <c r="L11" s="41"/>
    </row>
    <row r="12" spans="1:15" x14ac:dyDescent="0.2">
      <c r="A12" s="199">
        <v>3</v>
      </c>
      <c r="B12" s="173" t="s">
        <v>327</v>
      </c>
      <c r="C12" s="67">
        <v>1</v>
      </c>
      <c r="D12" s="175"/>
      <c r="E12" s="35">
        <f>IF(B12=0,"",IF(C12&gt;9999,"",ROUND('General Variables'!$B$4*VLOOKUP(B12,Operations[],10,FALSE)/VLOOKUP(B12,Operations[],9,FALSE)*C12,2)))</f>
        <v>1.67</v>
      </c>
      <c r="F12" s="35">
        <f>IF(B12=0,0,IF(C12&gt;9999,"",ROUND(IF(VLOOKUP(B12,Operations[],12,FALSE)=0,VLOOKUP(B12,Operations[],13,FALSE)*'General Variables'!$B$8,VLOOKUP(B12,Operations[],12,FALSE)*'General Variables'!$B$7)/VLOOKUP(B12,Operations[],9,FALSE)*C12,2)))</f>
        <v>0.65</v>
      </c>
      <c r="G12" s="35">
        <f>IF(B12=0,0,IF(C12&gt;9999,"",ROUND(VLOOKUP(VLOOKUP(B12,Operations[],11,FALSE),PowerUnits[],10,FALSE)/VLOOKUP(B12,Operations[],9,FALSE)*C12,2)))</f>
        <v>0.69</v>
      </c>
      <c r="H12" s="35">
        <f>IF(B12=0,"",IF(C12&gt;9999,"",ROUND(VLOOKUP($B12,Operations[],15,FALSE)*C12,2)))</f>
        <v>0.1</v>
      </c>
      <c r="I12" s="35">
        <f>IF(B12=0,0,IF(C12&gt;9999,"",ROUND(VLOOKUP(VLOOKUP(B12,Operations[],11,FALSE),PowerUnits[],16,FALSE)/VLOOKUP(B12,Operations[],9,FALSE)*C12,2)))</f>
        <v>2.2799999999999998</v>
      </c>
      <c r="J12" s="35">
        <f>IF(B12=0,"",IF(C12&gt;9999,"",ROUND(VLOOKUP($B12,Operations[],21,FALSE)*$C12,2)))</f>
        <v>0.31</v>
      </c>
      <c r="K12" s="35">
        <f t="shared" si="0"/>
        <v>5.7</v>
      </c>
      <c r="L12" s="41"/>
    </row>
    <row r="13" spans="1:15" x14ac:dyDescent="0.2">
      <c r="A13" s="199">
        <v>4</v>
      </c>
      <c r="B13" s="173" t="s">
        <v>292</v>
      </c>
      <c r="C13" s="67">
        <v>4</v>
      </c>
      <c r="D13" s="175"/>
      <c r="E13" s="35">
        <f>IF(B13=0,"",IF(C13&gt;9999,"",ROUND('General Variables'!$B$4*VLOOKUP(B13,Operations[],10,FALSE)/VLOOKUP(B13,Operations[],9,FALSE)*C13,2)))</f>
        <v>4.4000000000000004</v>
      </c>
      <c r="F13" s="35">
        <f>IF(B13=0,0,IF(C13&gt;9999,"",ROUND(IF(VLOOKUP(B13,Operations[],12,FALSE)=0,VLOOKUP(B13,Operations[],13,FALSE)*'General Variables'!$B$8,VLOOKUP(B13,Operations[],12,FALSE)*'General Variables'!$B$7)/VLOOKUP(B13,Operations[],9,FALSE)*C13,2)))</f>
        <v>1.58</v>
      </c>
      <c r="G13" s="35">
        <f>IF(B13=0,0,IF(C13&gt;9999,"",ROUND(VLOOKUP(VLOOKUP(B13,Operations[],11,FALSE),PowerUnits[],10,FALSE)/VLOOKUP(B13,Operations[],9,FALSE)*C13,2)))</f>
        <v>1.65</v>
      </c>
      <c r="H13" s="35">
        <f>IF(B13=0,"",IF(C13&gt;9999,"",ROUND(VLOOKUP($B13,Operations[],15,FALSE)*C13,2)))</f>
        <v>0.21</v>
      </c>
      <c r="I13" s="35">
        <f>IF(B13=0,0,IF(C13&gt;9999,"",ROUND(VLOOKUP(VLOOKUP(B13,Operations[],11,FALSE),PowerUnits[],16,FALSE)/VLOOKUP(B13,Operations[],9,FALSE)*C13,2)))</f>
        <v>5.47</v>
      </c>
      <c r="J13" s="35">
        <f>IF(B13=0,"",IF(C13&gt;9999,"",ROUND(VLOOKUP($B13,Operations[],21,FALSE)*$C13,2)))</f>
        <v>1.58</v>
      </c>
      <c r="K13" s="35">
        <f t="shared" si="0"/>
        <v>14.89</v>
      </c>
      <c r="L13" s="41"/>
    </row>
    <row r="14" spans="1:15" x14ac:dyDescent="0.2">
      <c r="A14" s="199">
        <v>5</v>
      </c>
      <c r="B14" s="173" t="s">
        <v>300</v>
      </c>
      <c r="C14" s="67" t="s">
        <v>3</v>
      </c>
      <c r="D14" s="175"/>
      <c r="E14" s="35" t="str">
        <f>IF(B14=0,"",IF(C14&gt;9999,"",ROUND('General Variables'!$B$4*VLOOKUP(B14,Operations[],10,FALSE)/VLOOKUP(B14,Operations[],9,FALSE)*C14,2)))</f>
        <v/>
      </c>
      <c r="F14" s="35" t="str">
        <f>IF(B14=0,0,IF(C14&gt;9999,"",ROUND(IF(VLOOKUP(B14,Operations[],12,FALSE)=0,VLOOKUP(B14,Operations[],13,FALSE)*'General Variables'!$B$8,VLOOKUP(B14,Operations[],12,FALSE)*'General Variables'!$B$7)/VLOOKUP(B14,Operations[],9,FALSE)*C14,2)))</f>
        <v/>
      </c>
      <c r="G14" s="35" t="str">
        <f>IF(B14=0,0,IF(C14&gt;9999,"",ROUND(VLOOKUP(VLOOKUP(B14,Operations[],11,FALSE),PowerUnits[],10,FALSE)/VLOOKUP(B14,Operations[],9,FALSE)*C14,2)))</f>
        <v/>
      </c>
      <c r="H14" s="35" t="str">
        <f>IF(B14=0,"",IF(C14&gt;9999,"",ROUND(VLOOKUP($B14,Operations[],15,FALSE)*C14,2)))</f>
        <v/>
      </c>
      <c r="I14" s="35" t="str">
        <f>IF(B14=0,0,IF(C14&gt;9999,"",ROUND(VLOOKUP(VLOOKUP(B14,Operations[],11,FALSE),PowerUnits[],16,FALSE)/VLOOKUP(B14,Operations[],9,FALSE)*C14,2)))</f>
        <v/>
      </c>
      <c r="J14" s="35" t="str">
        <f>IF(B14=0,"",IF(C14&gt;9999,"",ROUND(VLOOKUP($B14,Operations[],21,FALSE)*$C14,2)))</f>
        <v/>
      </c>
      <c r="K14" s="35" t="str">
        <f>IF(C14&gt;9999,"",ROUND(SUM(E14:J14),2))</f>
        <v/>
      </c>
      <c r="L14" s="41"/>
    </row>
    <row r="15" spans="1:15" x14ac:dyDescent="0.2">
      <c r="A15" s="199">
        <v>6</v>
      </c>
      <c r="B15" s="173" t="s">
        <v>302</v>
      </c>
      <c r="C15" s="67" t="s">
        <v>3</v>
      </c>
      <c r="D15" s="175"/>
      <c r="E15" s="35" t="str">
        <f>IF(B15=0,"",IF(C15&gt;9999,"",ROUND('General Variables'!$B$4*VLOOKUP(B15,Operations[],10,FALSE)/VLOOKUP(B15,Operations[],9,FALSE)*C15,2)))</f>
        <v/>
      </c>
      <c r="F15" s="35" t="str">
        <f>IF(B15=0,0,IF(C15&gt;9999,"",ROUND(IF(VLOOKUP(B15,Operations[],12,FALSE)=0,VLOOKUP(B15,Operations[],13,FALSE)*'General Variables'!$B$8,VLOOKUP(B15,Operations[],12,FALSE)*'General Variables'!$B$7)/VLOOKUP(B15,Operations[],9,FALSE)*C15,2)))</f>
        <v/>
      </c>
      <c r="G15" s="35" t="str">
        <f>IF(B15=0,0,IF(C15&gt;9999,"",ROUND(VLOOKUP(VLOOKUP(B15,Operations[],11,FALSE),PowerUnits[],10,FALSE)/VLOOKUP(B15,Operations[],9,FALSE)*C15,2)))</f>
        <v/>
      </c>
      <c r="H15" s="35" t="str">
        <f>IF(B15=0,"",IF(C15&gt;9999,"",ROUND(VLOOKUP($B15,Operations[],15,FALSE)*C15,2)))</f>
        <v/>
      </c>
      <c r="I15" s="35" t="str">
        <f>IF(B15=0,0,IF(C15&gt;9999,"",ROUND(VLOOKUP(VLOOKUP(B15,Operations[],11,FALSE),PowerUnits[],16,FALSE)/VLOOKUP(B15,Operations[],9,FALSE)*C15,2)))</f>
        <v/>
      </c>
      <c r="J15" s="35" t="str">
        <f>IF(B15=0,"",IF(C15&gt;9999,"",ROUND(VLOOKUP($B15,Operations[],21,FALSE)*$C15,2)))</f>
        <v/>
      </c>
      <c r="K15" s="35" t="str">
        <f>IF(C15&gt;9999,"",ROUND(SUM(E15:J15),2))</f>
        <v/>
      </c>
      <c r="L15" s="41"/>
    </row>
    <row r="16" spans="1:15" x14ac:dyDescent="0.2">
      <c r="A16" s="199">
        <v>7</v>
      </c>
      <c r="B16" s="173" t="s">
        <v>447</v>
      </c>
      <c r="C16" s="67">
        <v>1</v>
      </c>
      <c r="D16" s="175"/>
      <c r="E16" s="35">
        <f>IF(B16=0,"",IF(C16&gt;9999,"",ROUND('General Variables'!$B$4*VLOOKUP(B16,Operations[],10,FALSE)/VLOOKUP(B16,Operations[],9,FALSE)*C16,2)))</f>
        <v>3.13</v>
      </c>
      <c r="F16" s="35">
        <f>IF(B16=0,0,IF(C16&gt;9999,"",ROUND(IF(VLOOKUP(B16,Operations[],12,FALSE)=0,VLOOKUP(B16,Operations[],13,FALSE)*'General Variables'!$B$8,VLOOKUP(B16,Operations[],12,FALSE)*'General Variables'!$B$7)/VLOOKUP(B16,Operations[],9,FALSE)*C16,2)))</f>
        <v>2.34</v>
      </c>
      <c r="G16" s="35">
        <f>IF(B16=0,0,IF(C16&gt;9999,"",ROUND(VLOOKUP(VLOOKUP(B16,Operations[],11,FALSE),PowerUnits[],10,FALSE)/VLOOKUP(B16,Operations[],9,FALSE)*C16,2)))</f>
        <v>1.17</v>
      </c>
      <c r="H16" s="35">
        <f>IF(B16=0,"",IF(C16&gt;9999,"",ROUND(VLOOKUP($B16,Operations[],15,FALSE)*C16,2)))</f>
        <v>0.87</v>
      </c>
      <c r="I16" s="35">
        <f>IF(B16=0,0,IF(C16&gt;9999,"",ROUND(VLOOKUP(VLOOKUP(B16,Operations[],11,FALSE),PowerUnits[],16,FALSE)/VLOOKUP(B16,Operations[],9,FALSE)*C16,2)))</f>
        <v>3.89</v>
      </c>
      <c r="J16" s="35">
        <f>IF(B16=0,"",IF(C16&gt;9999,"",ROUND(VLOOKUP($B16,Operations[],21,FALSE)*$C16,2)))</f>
        <v>5.29</v>
      </c>
      <c r="K16" s="35">
        <f t="shared" si="0"/>
        <v>16.690000000000001</v>
      </c>
      <c r="L16" s="41"/>
    </row>
    <row r="17" spans="1:12" x14ac:dyDescent="0.2">
      <c r="A17" s="199">
        <v>8</v>
      </c>
      <c r="B17" s="173" t="s">
        <v>291</v>
      </c>
      <c r="C17" s="67">
        <f>H3</f>
        <v>22</v>
      </c>
      <c r="D17" s="175" t="s">
        <v>459</v>
      </c>
      <c r="E17" s="36">
        <f>IF(B17=0,"",IF(C17&gt;9999,"",ROUND('General Variables'!$B$4*VLOOKUP(B17,Operations[],10,FALSE)/VLOOKUP(B17,Operations[],9,FALSE)*C17,2)))</f>
        <v>24.44</v>
      </c>
      <c r="F17" s="36"/>
      <c r="G17" s="36"/>
      <c r="H17" s="36"/>
      <c r="I17" s="36"/>
      <c r="J17" s="36"/>
      <c r="K17" s="36">
        <f>SUM(E17:J17)</f>
        <v>24.44</v>
      </c>
      <c r="L17" s="41"/>
    </row>
    <row r="18" spans="1:12" x14ac:dyDescent="0.2">
      <c r="A18" s="199">
        <v>9</v>
      </c>
      <c r="B18" s="173" t="s">
        <v>56</v>
      </c>
      <c r="C18" s="67">
        <v>0.25</v>
      </c>
      <c r="D18" s="176"/>
      <c r="E18" s="35">
        <f>IF(B18=0,"",IF(C18&gt;9999,"",ROUND('General Variables'!$B$4*VLOOKUP(B18,Operations[],10,FALSE)/VLOOKUP(B18,Operations[],9,FALSE)*C18,2)))</f>
        <v>0.25</v>
      </c>
      <c r="F18" s="35">
        <f>IF(B18=0,0,IF(C18&gt;9999,"",ROUND(IF(VLOOKUP(B18,Operations[],12,FALSE)=0,VLOOKUP(B18,Operations[],13,FALSE)*'General Variables'!$B$8,VLOOKUP(B18,Operations[],12,FALSE)*'General Variables'!$B$7)/VLOOKUP(B18,Operations[],9,FALSE)*C18,2)))</f>
        <v>0.1</v>
      </c>
      <c r="G18" s="35">
        <f>IF(B18=0,0,IF(C18&gt;9999,"",ROUND(VLOOKUP(VLOOKUP(B18,Operations[],11,FALSE),PowerUnits[],10,FALSE)/VLOOKUP(B18,Operations[],9,FALSE)*C18,2)))</f>
        <v>0.08</v>
      </c>
      <c r="H18" s="35">
        <f>IF(B18=0,"",IF(C18&gt;9999,"",ROUND(VLOOKUP($B18,Operations[],15,FALSE)*C18,2)))</f>
        <v>0.16</v>
      </c>
      <c r="I18" s="35">
        <f>IF(B18=0,0,IF(C18&gt;9999,"",ROUND(VLOOKUP(VLOOKUP(B18,Operations[],11,FALSE),PowerUnits[],16,FALSE)/VLOOKUP(B18,Operations[],9,FALSE)*C18,2)))</f>
        <v>0.27</v>
      </c>
      <c r="J18" s="35">
        <f>IF(B18=0,"",IF(C18&gt;9999,"",ROUND(VLOOKUP($B18,Operations[],21,FALSE)*$C18,2)))</f>
        <v>0.21</v>
      </c>
      <c r="K18" s="35">
        <f t="shared" si="0"/>
        <v>1.07</v>
      </c>
      <c r="L18" s="41"/>
    </row>
    <row r="19" spans="1:12" x14ac:dyDescent="0.2">
      <c r="A19" s="199">
        <v>10</v>
      </c>
      <c r="B19" s="173" t="s">
        <v>56</v>
      </c>
      <c r="C19" s="67">
        <v>0.25</v>
      </c>
      <c r="D19" s="176"/>
      <c r="E19" s="35">
        <f>IF(B19=0,"",IF(C19&gt;9999,"",ROUND('General Variables'!$B$4*VLOOKUP(B19,Operations[],10,FALSE)/VLOOKUP(B19,Operations[],9,FALSE)*C19,2)))</f>
        <v>0.25</v>
      </c>
      <c r="F19" s="35">
        <f>IF(B19=0,0,IF(C19&gt;9999,"",ROUND(IF(VLOOKUP(B19,Operations[],12,FALSE)=0,VLOOKUP(B19,Operations[],13,FALSE)*'General Variables'!$B$8,VLOOKUP(B19,Operations[],12,FALSE)*'General Variables'!$B$7)/VLOOKUP(B19,Operations[],9,FALSE)*C19,2)))</f>
        <v>0.1</v>
      </c>
      <c r="G19" s="35">
        <f>IF(B19=0,0,IF(C19&gt;9999,"",ROUND(VLOOKUP(VLOOKUP(B19,Operations[],11,FALSE),PowerUnits[],10,FALSE)/VLOOKUP(B19,Operations[],9,FALSE)*C19,2)))</f>
        <v>0.08</v>
      </c>
      <c r="H19" s="35">
        <f>IF(B19=0,"",IF(C19&gt;9999,"",ROUND(VLOOKUP($B19,Operations[],15,FALSE)*C19,2)))</f>
        <v>0.16</v>
      </c>
      <c r="I19" s="35">
        <f>IF(B19=0,0,IF(C19&gt;9999,"",ROUND(VLOOKUP(VLOOKUP(B19,Operations[],11,FALSE),PowerUnits[],16,FALSE)/VLOOKUP(B19,Operations[],9,FALSE)*C19,2)))</f>
        <v>0.27</v>
      </c>
      <c r="J19" s="35">
        <f>IF(B19=0,"",IF(C19&gt;9999,"",ROUND(VLOOKUP($B19,Operations[],21,FALSE)*$C19,2)))</f>
        <v>0.21</v>
      </c>
      <c r="K19" s="35">
        <f t="shared" si="0"/>
        <v>1.07</v>
      </c>
      <c r="L19" s="41"/>
    </row>
    <row r="20" spans="1:12" hidden="1" x14ac:dyDescent="0.2">
      <c r="A20" s="199">
        <v>11</v>
      </c>
      <c r="B20" s="174"/>
      <c r="C20" s="68"/>
      <c r="D20" s="176"/>
      <c r="E20" s="35" t="str">
        <f>IF(B20=0,"",IF(C20&gt;9999,"",ROUND('General Variables'!$B$4*VLOOKUP(B20,Operations[],10,FALSE)/VLOOKUP(B20,Operations[],9,FALSE)*C20,2)))</f>
        <v/>
      </c>
      <c r="F20" s="35">
        <f>IF(B20=0,0,IF(C20&gt;9999,"",ROUND(IF(VLOOKUP(B20,Operations[],12,FALSE)=0,VLOOKUP(B20,Operations[],13,FALSE)*'General Variables'!$B$8,VLOOKUP(B20,Operations[],12,FALSE)*'General Variables'!$B$7)/VLOOKUP(B20,Operations[],9,FALSE)*C20,2)))</f>
        <v>0</v>
      </c>
      <c r="G20" s="35">
        <f>IF(B20=0,0,IF(C20&gt;9999,"",ROUND(VLOOKUP(VLOOKUP(B20,Operations[],11,FALSE),PowerUnits[],10,FALSE)/VLOOKUP(B20,Operations[],9,FALSE)*C20,2)))</f>
        <v>0</v>
      </c>
      <c r="H20" s="35" t="str">
        <f>IF(B20=0,"",IF(C20&gt;9999,"",ROUND(VLOOKUP($B20,Operations[],15,FALSE)*C20,2)))</f>
        <v/>
      </c>
      <c r="I20" s="35">
        <f>IF(B20=0,0,IF(C20&gt;9999,"",ROUND(VLOOKUP(VLOOKUP(B20,Operations[],11,FALSE),PowerUnits[],16,FALSE)/VLOOKUP(B20,Operations[],9,FALSE)*C20,2)))</f>
        <v>0</v>
      </c>
      <c r="J20" s="35" t="str">
        <f>IF(B20=0,"",IF(C20&gt;9999,"",ROUND(VLOOKUP($B20,Operations[],21,FALSE)*$C20,2)))</f>
        <v/>
      </c>
      <c r="K20" s="35">
        <f t="shared" si="0"/>
        <v>0</v>
      </c>
      <c r="L20" s="41"/>
    </row>
    <row r="21" spans="1:12" hidden="1" x14ac:dyDescent="0.2">
      <c r="A21" s="199">
        <v>12</v>
      </c>
      <c r="B21" s="174"/>
      <c r="C21" s="68"/>
      <c r="D21" s="176"/>
      <c r="E21" s="35" t="str">
        <f>IF(B21=0,"",IF(C21&gt;9999,"",ROUND('General Variables'!$B$4*VLOOKUP(B21,Operations[],10,FALSE)/VLOOKUP(B21,Operations[],9,FALSE)*C21,2)))</f>
        <v/>
      </c>
      <c r="F21" s="35">
        <f>IF(B21=0,0,IF(C21&gt;9999,"",ROUND(IF(VLOOKUP(B21,Operations[],12,FALSE)=0,VLOOKUP(B21,Operations[],13,FALSE)*'General Variables'!$B$8,VLOOKUP(B21,Operations[],12,FALSE)*'General Variables'!$B$7)/VLOOKUP(B21,Operations[],9,FALSE)*C21,2)))</f>
        <v>0</v>
      </c>
      <c r="G21" s="35">
        <f>IF(B21=0,0,IF(C21&gt;9999,"",ROUND(VLOOKUP(VLOOKUP(B21,Operations[],11,FALSE),PowerUnits[],10,FALSE)/VLOOKUP(B21,Operations[],9,FALSE)*C21,2)))</f>
        <v>0</v>
      </c>
      <c r="H21" s="35" t="str">
        <f>IF(B21=0,"",IF(C21&gt;9999,"",ROUND(VLOOKUP($B21,Operations[],15,FALSE)*C21,2)))</f>
        <v/>
      </c>
      <c r="I21" s="35">
        <f>IF(B21=0,0,IF(C21&gt;9999,"",ROUND(VLOOKUP(VLOOKUP(B21,Operations[],11,FALSE),PowerUnits[],16,FALSE)/VLOOKUP(B21,Operations[],9,FALSE)*C21,2)))</f>
        <v>0</v>
      </c>
      <c r="J21" s="35" t="str">
        <f>IF(B21=0,"",IF(C21&gt;9999,"",ROUND(VLOOKUP($B21,Operations[],21,FALSE)*$C21,2)))</f>
        <v/>
      </c>
      <c r="K21" s="35">
        <f t="shared" si="0"/>
        <v>0</v>
      </c>
      <c r="L21" s="41"/>
    </row>
    <row r="22" spans="1:12" hidden="1" x14ac:dyDescent="0.2">
      <c r="A22" s="199">
        <v>13</v>
      </c>
      <c r="B22" s="174"/>
      <c r="C22" s="68"/>
      <c r="D22" s="176"/>
      <c r="E22" s="35" t="str">
        <f>IF(B22=0,"",IF(C22&gt;9999,"",ROUND('General Variables'!$B$4*VLOOKUP(B22,Operations[],10,FALSE)/VLOOKUP(B22,Operations[],9,FALSE)*C22,2)))</f>
        <v/>
      </c>
      <c r="F22" s="35">
        <f>IF(B22=0,0,IF(C22&gt;9999,"",ROUND(IF(VLOOKUP(B22,Operations[],12,FALSE)=0,VLOOKUP(B22,Operations[],13,FALSE)*'General Variables'!$B$8,VLOOKUP(B22,Operations[],12,FALSE)*'General Variables'!$B$7)/VLOOKUP(B22,Operations[],9,FALSE)*C22,2)))</f>
        <v>0</v>
      </c>
      <c r="G22" s="35">
        <f>IF(B22=0,0,IF(C22&gt;9999,"",ROUND(VLOOKUP(VLOOKUP(B22,Operations[],11,FALSE),PowerUnits[],10,FALSE)/VLOOKUP(B22,Operations[],9,FALSE)*C22,2)))</f>
        <v>0</v>
      </c>
      <c r="H22" s="35" t="str">
        <f>IF(B22=0,"",IF(C22&gt;9999,"",ROUND(VLOOKUP($B22,Operations[],15,FALSE)*C22,2)))</f>
        <v/>
      </c>
      <c r="I22" s="35">
        <f>IF(B22=0,0,IF(C22&gt;9999,"",ROUND(VLOOKUP(VLOOKUP(B22,Operations[],11,FALSE),PowerUnits[],16,FALSE)/VLOOKUP(B22,Operations[],9,FALSE)*C22,2)))</f>
        <v>0</v>
      </c>
      <c r="J22" s="35" t="str">
        <f>IF(B22=0,"",IF(C22&gt;9999,"",ROUND(VLOOKUP($B22,Operations[],21,FALSE)*$C22,2)))</f>
        <v/>
      </c>
      <c r="K22" s="35">
        <f t="shared" si="0"/>
        <v>0</v>
      </c>
      <c r="L22" s="41"/>
    </row>
    <row r="23" spans="1:12" hidden="1" x14ac:dyDescent="0.2">
      <c r="A23" s="199">
        <v>14</v>
      </c>
      <c r="B23" s="174"/>
      <c r="C23" s="68"/>
      <c r="D23" s="176"/>
      <c r="E23" s="35" t="str">
        <f>IF(B23=0,"",IF(C23&gt;9999,"",ROUND('General Variables'!$B$4*VLOOKUP(B23,Operations[],10,FALSE)/VLOOKUP(B23,Operations[],9,FALSE)*C23,2)))</f>
        <v/>
      </c>
      <c r="F23" s="35">
        <f>IF(B23=0,0,IF(C23&gt;9999,"",ROUND(IF(VLOOKUP(B23,Operations[],12,FALSE)=0,VLOOKUP(B23,Operations[],13,FALSE)*'General Variables'!$B$8,VLOOKUP(B23,Operations[],12,FALSE)*'General Variables'!$B$7)/VLOOKUP(B23,Operations[],9,FALSE)*C23,2)))</f>
        <v>0</v>
      </c>
      <c r="G23" s="35">
        <f>IF(B23=0,0,IF(C23&gt;9999,"",ROUND(VLOOKUP(VLOOKUP(B23,Operations[],11,FALSE),PowerUnits[],10,FALSE)/VLOOKUP(B23,Operations[],9,FALSE)*C23,2)))</f>
        <v>0</v>
      </c>
      <c r="H23" s="35" t="str">
        <f>IF(B23=0,"",IF(C23&gt;9999,"",ROUND(VLOOKUP($B23,Operations[],15,FALSE)*C23,2)))</f>
        <v/>
      </c>
      <c r="I23" s="35">
        <f>IF(B23=0,0,IF(C23&gt;9999,"",ROUND(VLOOKUP(VLOOKUP(B23,Operations[],11,FALSE),PowerUnits[],16,FALSE)/VLOOKUP(B23,Operations[],9,FALSE)*C23,2)))</f>
        <v>0</v>
      </c>
      <c r="J23" s="35" t="str">
        <f>IF(B23=0,"",IF(C23&gt;9999,"",ROUND(VLOOKUP($B23,Operations[],21,FALSE)*$C23,2)))</f>
        <v/>
      </c>
      <c r="K23" s="35">
        <f t="shared" si="0"/>
        <v>0</v>
      </c>
      <c r="L23" s="41"/>
    </row>
    <row r="24" spans="1:12" hidden="1" x14ac:dyDescent="0.2">
      <c r="A24" s="199">
        <v>15</v>
      </c>
      <c r="B24" s="174"/>
      <c r="C24" s="68"/>
      <c r="D24" s="176"/>
      <c r="E24" s="35" t="str">
        <f>IF(B24=0,"",IF(C24&gt;9999,"",ROUND('General Variables'!$B$4*VLOOKUP(B24,Operations[],10,FALSE)/VLOOKUP(B24,Operations[],9,FALSE)*C24,2)))</f>
        <v/>
      </c>
      <c r="F24" s="35">
        <f>IF(B24=0,0,IF(C24&gt;9999,"",ROUND(IF(VLOOKUP(B24,Operations[],12,FALSE)=0,VLOOKUP(B24,Operations[],13,FALSE)*'General Variables'!$B$8,VLOOKUP(B24,Operations[],12,FALSE)*'General Variables'!$B$7)/VLOOKUP(B24,Operations[],9,FALSE)*C24,2)))</f>
        <v>0</v>
      </c>
      <c r="G24" s="35">
        <f>IF(B24=0,0,IF(C24&gt;9999,"",ROUND(VLOOKUP(VLOOKUP(B24,Operations[],11,FALSE),PowerUnits[],10,FALSE)/VLOOKUP(B24,Operations[],9,FALSE)*C24,2)))</f>
        <v>0</v>
      </c>
      <c r="H24" s="35" t="str">
        <f>IF(B24=0,"",IF(C24&gt;9999,"",ROUND(VLOOKUP($B24,Operations[],15,FALSE)*C24,2)))</f>
        <v/>
      </c>
      <c r="I24" s="35">
        <f>IF(B24=0,0,IF(C24&gt;9999,"",ROUND(VLOOKUP(VLOOKUP(B24,Operations[],11,FALSE),PowerUnits[],16,FALSE)/VLOOKUP(B24,Operations[],9,FALSE)*C24,2)))</f>
        <v>0</v>
      </c>
      <c r="J24" s="35" t="str">
        <f>IF(B24=0,"",IF(C24&gt;9999,"",ROUND(VLOOKUP($B24,Operations[],21,FALSE)*$C24,2)))</f>
        <v/>
      </c>
      <c r="K24" s="35">
        <f t="shared" si="0"/>
        <v>0</v>
      </c>
      <c r="L24" s="41"/>
    </row>
    <row r="25" spans="1:12" hidden="1" x14ac:dyDescent="0.2">
      <c r="A25" s="199">
        <v>16</v>
      </c>
      <c r="B25" s="174"/>
      <c r="C25" s="68"/>
      <c r="D25" s="176"/>
      <c r="E25" s="35" t="str">
        <f>IF(B25=0,"",IF(C25&gt;9999,"",ROUND('General Variables'!$B$4*VLOOKUP(B25,Operations[],10,FALSE)/VLOOKUP(B25,Operations[],9,FALSE)*C25,2)))</f>
        <v/>
      </c>
      <c r="F25" s="35">
        <f>IF(B25=0,0,IF(C25&gt;9999,"",ROUND(IF(VLOOKUP(B25,Operations[],12,FALSE)=0,VLOOKUP(B25,Operations[],13,FALSE)*'General Variables'!$B$8,VLOOKUP(B25,Operations[],12,FALSE)*'General Variables'!$B$7)/VLOOKUP(B25,Operations[],9,FALSE)*C25,2)))</f>
        <v>0</v>
      </c>
      <c r="G25" s="35">
        <f>IF(B25=0,0,IF(C25&gt;9999,"",ROUND(VLOOKUP(VLOOKUP(B25,Operations[],11,FALSE),PowerUnits[],10,FALSE)/VLOOKUP(B25,Operations[],9,FALSE)*C25,2)))</f>
        <v>0</v>
      </c>
      <c r="H25" s="35" t="str">
        <f>IF(B25=0,"",IF(C25&gt;9999,"",ROUND(VLOOKUP($B25,Operations[],15,FALSE)*C25,2)))</f>
        <v/>
      </c>
      <c r="I25" s="35">
        <f>IF(B25=0,0,IF(C25&gt;9999,"",ROUND(VLOOKUP(VLOOKUP(B25,Operations[],11,FALSE),PowerUnits[],16,FALSE)/VLOOKUP(B25,Operations[],9,FALSE)*C25,2)))</f>
        <v>0</v>
      </c>
      <c r="J25" s="35" t="str">
        <f>IF(B25=0,"",IF(C25&gt;9999,"",ROUND(VLOOKUP($B25,Operations[],21,FALSE)*$C25,2)))</f>
        <v/>
      </c>
      <c r="K25" s="35">
        <f t="shared" si="0"/>
        <v>0</v>
      </c>
      <c r="L25" s="41"/>
    </row>
    <row r="26" spans="1:12" hidden="1" x14ac:dyDescent="0.2">
      <c r="A26" s="199">
        <v>17</v>
      </c>
      <c r="B26" s="174"/>
      <c r="C26" s="68"/>
      <c r="D26" s="176"/>
      <c r="E26" s="35" t="str">
        <f>IF(B26=0,"",IF(C26&gt;9999,"",ROUND('General Variables'!$B$4*VLOOKUP(B26,Operations[],10,FALSE)/VLOOKUP(B26,Operations[],9,FALSE)*C26,2)))</f>
        <v/>
      </c>
      <c r="F26" s="35">
        <f>IF(B26=0,0,IF(C26&gt;9999,"",ROUND(IF(VLOOKUP(B26,Operations[],12,FALSE)=0,VLOOKUP(B26,Operations[],13,FALSE)*'General Variables'!$B$8,VLOOKUP(B26,Operations[],12,FALSE)*'General Variables'!$B$7)/VLOOKUP(B26,Operations[],9,FALSE)*C26,2)))</f>
        <v>0</v>
      </c>
      <c r="G26" s="35">
        <f>IF(B26=0,0,IF(C26&gt;9999,"",ROUND(VLOOKUP(VLOOKUP(B26,Operations[],11,FALSE),PowerUnits[],10,FALSE)/VLOOKUP(B26,Operations[],9,FALSE)*C26,2)))</f>
        <v>0</v>
      </c>
      <c r="H26" s="35" t="str">
        <f>IF(B26=0,"",IF(C26&gt;9999,"",ROUND(VLOOKUP($B26,Operations[],15,FALSE)*C26,2)))</f>
        <v/>
      </c>
      <c r="I26" s="35">
        <f>IF(B26=0,0,IF(C26&gt;9999,"",ROUND(VLOOKUP(VLOOKUP(B26,Operations[],11,FALSE),PowerUnits[],16,FALSE)/VLOOKUP(B26,Operations[],9,FALSE)*C26,2)))</f>
        <v>0</v>
      </c>
      <c r="J26" s="35" t="str">
        <f>IF(B26=0,"",IF(C26&gt;9999,"",ROUND(VLOOKUP($B26,Operations[],21,FALSE)*$C26,2)))</f>
        <v/>
      </c>
      <c r="K26" s="35">
        <f t="shared" si="0"/>
        <v>0</v>
      </c>
      <c r="L26" s="41"/>
    </row>
    <row r="27" spans="1:12" hidden="1" x14ac:dyDescent="0.2">
      <c r="A27" s="199">
        <v>18</v>
      </c>
      <c r="B27" s="174"/>
      <c r="C27" s="68"/>
      <c r="D27" s="176"/>
      <c r="E27" s="35" t="str">
        <f>IF(B27=0,"",IF(C27&gt;9999,"",ROUND('General Variables'!$B$4*VLOOKUP(B27,Operations[],10,FALSE)/VLOOKUP(B27,Operations[],9,FALSE)*C27,2)))</f>
        <v/>
      </c>
      <c r="F27" s="35">
        <f>IF(B27=0,0,IF(C27&gt;9999,"",ROUND(IF(VLOOKUP(B27,Operations[],12,FALSE)=0,VLOOKUP(B27,Operations[],13,FALSE)*'General Variables'!$B$8,VLOOKUP(B27,Operations[],12,FALSE)*'General Variables'!$B$7)/VLOOKUP(B27,Operations[],9,FALSE)*C27,2)))</f>
        <v>0</v>
      </c>
      <c r="G27" s="35">
        <f>IF(B27=0,0,IF(C27&gt;9999,"",ROUND(VLOOKUP(VLOOKUP(B27,Operations[],11,FALSE),PowerUnits[],10,FALSE)/VLOOKUP(B27,Operations[],9,FALSE)*C27,2)))</f>
        <v>0</v>
      </c>
      <c r="H27" s="35" t="str">
        <f>IF(B27=0,"",IF(C27&gt;9999,"",ROUND(VLOOKUP($B27,Operations[],15,FALSE)*C27,2)))</f>
        <v/>
      </c>
      <c r="I27" s="35">
        <f>IF(B27=0,0,IF(C27&gt;9999,"",ROUND(VLOOKUP(VLOOKUP(B27,Operations[],11,FALSE),PowerUnits[],16,FALSE)/VLOOKUP(B27,Operations[],9,FALSE)*C27,2)))</f>
        <v>0</v>
      </c>
      <c r="J27" s="35" t="str">
        <f>IF(B27=0,"",IF(C27&gt;9999,"",ROUND(VLOOKUP($B27,Operations[],21,FALSE)*$C27,2)))</f>
        <v/>
      </c>
      <c r="K27" s="35">
        <f t="shared" si="0"/>
        <v>0</v>
      </c>
      <c r="L27" s="41"/>
    </row>
    <row r="28" spans="1:12" hidden="1" x14ac:dyDescent="0.2">
      <c r="A28" s="199">
        <v>19</v>
      </c>
      <c r="B28" s="174"/>
      <c r="C28" s="68"/>
      <c r="D28" s="176"/>
      <c r="E28" s="35" t="str">
        <f>IF(B28=0,"",IF(C28&gt;9999,"",ROUND('General Variables'!$B$4*VLOOKUP(B28,Operations[],10,FALSE)/VLOOKUP(B28,Operations[],9,FALSE)*C28,2)))</f>
        <v/>
      </c>
      <c r="F28" s="35">
        <f>IF(B28=0,0,IF(C28&gt;9999,"",ROUND(IF(VLOOKUP(B28,Operations[],12,FALSE)=0,VLOOKUP(B28,Operations[],13,FALSE)*'General Variables'!$B$8,VLOOKUP(B28,Operations[],12,FALSE)*'General Variables'!$B$7)/VLOOKUP(B28,Operations[],9,FALSE)*C28,2)))</f>
        <v>0</v>
      </c>
      <c r="G28" s="35">
        <f>IF(B28=0,0,IF(C28&gt;9999,"",ROUND(VLOOKUP(VLOOKUP(B28,Operations[],11,FALSE),PowerUnits[],10,FALSE)/VLOOKUP(B28,Operations[],9,FALSE)*C28,2)))</f>
        <v>0</v>
      </c>
      <c r="H28" s="35" t="str">
        <f>IF(B28=0,"",IF(C28&gt;9999,"",ROUND(VLOOKUP($B28,Operations[],15,FALSE)*C28,2)))</f>
        <v/>
      </c>
      <c r="I28" s="35">
        <f>IF(B28=0,0,IF(C28&gt;9999,"",ROUND(VLOOKUP(VLOOKUP(B28,Operations[],11,FALSE),PowerUnits[],16,FALSE)/VLOOKUP(B28,Operations[],9,FALSE)*C28,2)))</f>
        <v>0</v>
      </c>
      <c r="J28" s="35" t="str">
        <f>IF(B28=0,"",IF(C28&gt;9999,"",ROUND(VLOOKUP($B28,Operations[],21,FALSE)*$C28,2)))</f>
        <v/>
      </c>
      <c r="K28" s="35">
        <f t="shared" si="0"/>
        <v>0</v>
      </c>
      <c r="L28" s="42"/>
    </row>
    <row r="29" spans="1:12" hidden="1" x14ac:dyDescent="0.2">
      <c r="A29" s="199">
        <v>20</v>
      </c>
      <c r="B29" s="174"/>
      <c r="C29" s="68"/>
      <c r="D29" s="176"/>
      <c r="E29" s="35" t="str">
        <f>IF(B29=0,"",IF(C29&gt;9999,"",ROUND('General Variables'!$B$4*VLOOKUP(B29,Operations[],10,FALSE)/VLOOKUP(B29,Operations[],9,FALSE)*C29,2)))</f>
        <v/>
      </c>
      <c r="F29" s="35">
        <f>IF(B29=0,0,IF(C29&gt;9999,"",ROUND(IF(VLOOKUP(B29,Operations[],12,FALSE)=0,VLOOKUP(B29,Operations[],13,FALSE)*'General Variables'!$B$8,VLOOKUP(B29,Operations[],12,FALSE)*'General Variables'!$B$7)/VLOOKUP(B29,Operations[],9,FALSE)*C29,2)))</f>
        <v>0</v>
      </c>
      <c r="G29" s="35">
        <f>IF(B29=0,0,IF(C29&gt;9999,"",ROUND(VLOOKUP(VLOOKUP(B29,Operations[],11,FALSE),PowerUnits[],10,FALSE)/VLOOKUP(B29,Operations[],9,FALSE)*C29,2)))</f>
        <v>0</v>
      </c>
      <c r="H29" s="35" t="str">
        <f>IF(B29=0,"",IF(C29&gt;9999,"",ROUND(VLOOKUP($B29,Operations[],15,FALSE)*C29,2)))</f>
        <v/>
      </c>
      <c r="I29" s="35">
        <f>IF(B29=0,0,IF(C29&gt;9999,"",ROUND(VLOOKUP(VLOOKUP(B29,Operations[],11,FALSE),PowerUnits[],16,FALSE)/VLOOKUP(B29,Operations[],9,FALSE)*C29,2)))</f>
        <v>0</v>
      </c>
      <c r="J29" s="35" t="str">
        <f>IF(B29=0,"",IF(C29&gt;9999,"",ROUND(VLOOKUP($B29,Operations[],21,FALSE)*$C29,2)))</f>
        <v/>
      </c>
      <c r="K29" s="35">
        <f t="shared" si="0"/>
        <v>0</v>
      </c>
      <c r="L29" s="38"/>
    </row>
    <row r="30" spans="1:12" ht="3" customHeight="1" thickBot="1" x14ac:dyDescent="0.25">
      <c r="A30" s="199"/>
      <c r="B30" s="43"/>
      <c r="C30" s="44"/>
      <c r="D30" s="44"/>
      <c r="E30" s="37"/>
      <c r="F30" s="37"/>
      <c r="G30" s="37"/>
      <c r="H30" s="37"/>
      <c r="I30" s="37"/>
      <c r="J30" s="37"/>
      <c r="K30" s="37"/>
      <c r="L30" s="45"/>
    </row>
    <row r="31" spans="1:12" ht="13.5" thickTop="1" x14ac:dyDescent="0.2">
      <c r="C31" s="46" t="s">
        <v>83</v>
      </c>
      <c r="D31" s="46"/>
      <c r="E31" s="34">
        <f>SUM(E10:E29)</f>
        <v>45.71</v>
      </c>
      <c r="F31" s="34">
        <f t="shared" ref="F31:K31" si="1">SUM(F10:F29)</f>
        <v>15.25</v>
      </c>
      <c r="G31" s="34">
        <f t="shared" si="1"/>
        <v>13.07</v>
      </c>
      <c r="H31" s="34">
        <f t="shared" si="1"/>
        <v>2.6500000000000004</v>
      </c>
      <c r="I31" s="34">
        <f t="shared" si="1"/>
        <v>28.169999999999998</v>
      </c>
      <c r="J31" s="34">
        <f t="shared" si="1"/>
        <v>9.3300000000000018</v>
      </c>
      <c r="K31" s="34">
        <f t="shared" si="1"/>
        <v>114.17999999999998</v>
      </c>
      <c r="L31" s="41"/>
    </row>
    <row r="33" spans="2:12" ht="24" customHeight="1" thickBot="1" x14ac:dyDescent="0.25">
      <c r="B33" s="38"/>
      <c r="C33" s="38"/>
      <c r="D33" s="38"/>
      <c r="E33" s="38"/>
      <c r="F33" s="328" t="s">
        <v>97</v>
      </c>
      <c r="G33" s="328" t="s">
        <v>94</v>
      </c>
      <c r="H33" s="329" t="s">
        <v>98</v>
      </c>
      <c r="I33" s="329"/>
      <c r="J33" s="328" t="s">
        <v>69</v>
      </c>
      <c r="L33" s="329" t="s">
        <v>402</v>
      </c>
    </row>
    <row r="34" spans="2:12" s="47" customFormat="1" ht="14.25" thickTop="1" thickBot="1" x14ac:dyDescent="0.25">
      <c r="B34" s="48" t="s">
        <v>93</v>
      </c>
      <c r="C34" s="197"/>
      <c r="D34" s="197"/>
      <c r="E34" s="197"/>
      <c r="F34" s="328"/>
      <c r="G34" s="328"/>
      <c r="H34" s="197" t="s">
        <v>99</v>
      </c>
      <c r="I34" s="197" t="s">
        <v>77</v>
      </c>
      <c r="J34" s="328"/>
      <c r="K34" s="197" t="s">
        <v>95</v>
      </c>
      <c r="L34" s="328"/>
    </row>
    <row r="35" spans="2:12" ht="13.5" thickTop="1" x14ac:dyDescent="0.2">
      <c r="B35" s="173" t="s">
        <v>9</v>
      </c>
      <c r="C35" s="315" t="str">
        <f>IF(B35=0,"",VLOOKUP($B35,Materials[],2,FALSE))</f>
        <v>Fertilizer</v>
      </c>
      <c r="D35" s="315"/>
      <c r="E35" s="315"/>
      <c r="F35" s="67">
        <v>1</v>
      </c>
      <c r="G35" s="70">
        <v>1</v>
      </c>
      <c r="H35" s="286">
        <v>75</v>
      </c>
      <c r="I35" s="49" t="str">
        <f>IF($B35=0,"",VLOOKUP($B35,Materials[],5,FALSE))</f>
        <v>pound</v>
      </c>
      <c r="J35" s="50">
        <f>IF($B35=0,"",VLOOKUP($B35,Materials[],7,FALSE))</f>
        <v>0.3</v>
      </c>
      <c r="K35" s="34">
        <f>IF(B35=0,0,ROUND(G35*H35*J35,2))</f>
        <v>22.5</v>
      </c>
      <c r="L35" s="41"/>
    </row>
    <row r="36" spans="2:12" x14ac:dyDescent="0.2">
      <c r="B36" s="173" t="s">
        <v>577</v>
      </c>
      <c r="C36" s="315" t="str">
        <f>IF(B36=0,"",VLOOKUP($B36,Materials[],2,FALSE))</f>
        <v>Custom</v>
      </c>
      <c r="D36" s="315"/>
      <c r="E36" s="315"/>
      <c r="F36" s="67">
        <v>5</v>
      </c>
      <c r="G36" s="70">
        <v>1</v>
      </c>
      <c r="H36" s="286">
        <f>A4</f>
        <v>6.6</v>
      </c>
      <c r="I36" s="49" t="str">
        <f>IF($B36=0,"",VLOOKUP($B36,Materials[],5,FALSE))</f>
        <v>ton</v>
      </c>
      <c r="J36" s="50">
        <f>IF($B36=0,"",VLOOKUP($B36,Materials[],7,FALSE))</f>
        <v>19.117647058823529</v>
      </c>
      <c r="K36" s="34">
        <f t="shared" ref="K36:K59" si="2">IF(B36=0,0,ROUND(G36*H36*J36,2))</f>
        <v>126.18</v>
      </c>
      <c r="L36" s="41"/>
    </row>
    <row r="37" spans="2:12" x14ac:dyDescent="0.2">
      <c r="B37" s="173" t="s">
        <v>530</v>
      </c>
      <c r="C37" s="315" t="str">
        <f>IF(B37=0,"",VLOOKUP($B37,Materials[],2,FALSE))</f>
        <v>Custom</v>
      </c>
      <c r="D37" s="315"/>
      <c r="E37" s="315"/>
      <c r="F37" s="67">
        <v>6</v>
      </c>
      <c r="G37" s="70">
        <v>1</v>
      </c>
      <c r="H37" s="286">
        <v>6.6</v>
      </c>
      <c r="I37" s="49" t="str">
        <f>IF($B37=0,"",VLOOKUP($B37,Materials[],5,FALSE))</f>
        <v>ton</v>
      </c>
      <c r="J37" s="50">
        <f>IF($B37=0,"",VLOOKUP($B37,Materials[],7,FALSE))</f>
        <v>2.9368575624082229</v>
      </c>
      <c r="K37" s="34">
        <f t="shared" si="2"/>
        <v>19.38</v>
      </c>
      <c r="L37" s="41"/>
    </row>
    <row r="38" spans="2:12" x14ac:dyDescent="0.2">
      <c r="B38" s="273" t="s">
        <v>546</v>
      </c>
      <c r="C38" s="315" t="str">
        <f>IF(B38=0,"",VLOOKUP($B38,Materials[],2,FALSE))</f>
        <v>Other</v>
      </c>
      <c r="D38" s="315"/>
      <c r="E38" s="315"/>
      <c r="F38" s="269">
        <v>8</v>
      </c>
      <c r="G38" s="271">
        <v>1</v>
      </c>
      <c r="H38" s="286">
        <v>1</v>
      </c>
      <c r="I38" s="49" t="str">
        <f>IF($B38=0,"",VLOOKUP($B38,Materials[],5,FALSE))</f>
        <v>acre</v>
      </c>
      <c r="J38" s="50">
        <f>IF($B38=0,"",VLOOKUP($B38,Materials[],7,FALSE))</f>
        <v>30</v>
      </c>
      <c r="K38" s="34">
        <f t="shared" si="2"/>
        <v>30</v>
      </c>
      <c r="L38" s="41"/>
    </row>
    <row r="39" spans="2:12" x14ac:dyDescent="0.2">
      <c r="B39" s="273" t="s">
        <v>48</v>
      </c>
      <c r="C39" s="315" t="str">
        <f>IF(B39=0,"",VLOOKUP($B39,Materials[],2,FALSE))</f>
        <v>Herbicide</v>
      </c>
      <c r="D39" s="315"/>
      <c r="E39" s="315"/>
      <c r="F39" s="269">
        <v>9</v>
      </c>
      <c r="G39" s="271">
        <v>0.25</v>
      </c>
      <c r="H39" s="286">
        <v>4.5</v>
      </c>
      <c r="I39" s="49" t="str">
        <f>IF($B39=0,"",VLOOKUP($B39,Materials[],5,FALSE))</f>
        <v>ounce</v>
      </c>
      <c r="J39" s="50">
        <f>IF($B39=0,"",VLOOKUP($B39,Materials[],7,FALSE))</f>
        <v>3.75</v>
      </c>
      <c r="K39" s="34">
        <f t="shared" si="2"/>
        <v>4.22</v>
      </c>
      <c r="L39" s="41"/>
    </row>
    <row r="40" spans="2:12" x14ac:dyDescent="0.2">
      <c r="B40" s="273" t="s">
        <v>26</v>
      </c>
      <c r="C40" s="315" t="str">
        <f>IF(B40=0,"",VLOOKUP($B40,Materials[],2,FALSE))</f>
        <v>Additive</v>
      </c>
      <c r="D40" s="315"/>
      <c r="E40" s="315"/>
      <c r="F40" s="269">
        <v>9</v>
      </c>
      <c r="G40" s="271">
        <v>0.25</v>
      </c>
      <c r="H40" s="286">
        <v>2</v>
      </c>
      <c r="I40" s="49" t="str">
        <f>IF($B40=0,"",VLOOKUP($B40,Materials[],5,FALSE))</f>
        <v>pint</v>
      </c>
      <c r="J40" s="50">
        <f>IF($B40=0,"",VLOOKUP($B40,Materials[],7,FALSE))</f>
        <v>1.3125</v>
      </c>
      <c r="K40" s="34">
        <f t="shared" si="2"/>
        <v>0.66</v>
      </c>
      <c r="L40" s="41"/>
    </row>
    <row r="41" spans="2:12" x14ac:dyDescent="0.2">
      <c r="B41" s="273" t="s">
        <v>465</v>
      </c>
      <c r="C41" s="315" t="str">
        <f>IF(B41=0,"",VLOOKUP($B41,Materials[],2,FALSE))</f>
        <v>Insecticide</v>
      </c>
      <c r="D41" s="315"/>
      <c r="E41" s="315"/>
      <c r="F41" s="269">
        <v>10</v>
      </c>
      <c r="G41" s="271">
        <v>0.25</v>
      </c>
      <c r="H41" s="286">
        <v>3</v>
      </c>
      <c r="I41" s="49" t="str">
        <f>IF($B41=0,"",VLOOKUP($B41,Materials[],5,FALSE))</f>
        <v>ounce</v>
      </c>
      <c r="J41" s="50">
        <f>IF($B41=0,"",VLOOKUP($B41,Materials[],7,FALSE))</f>
        <v>1.484375</v>
      </c>
      <c r="K41" s="34">
        <f t="shared" si="2"/>
        <v>1.1100000000000001</v>
      </c>
      <c r="L41" s="41"/>
    </row>
    <row r="42" spans="2:12" hidden="1" x14ac:dyDescent="0.2">
      <c r="B42" s="174"/>
      <c r="C42" s="315" t="str">
        <f>IF(B42=0,"",VLOOKUP($B42,Materials[],2,FALSE))</f>
        <v/>
      </c>
      <c r="D42" s="315"/>
      <c r="E42" s="315"/>
      <c r="F42" s="68"/>
      <c r="G42" s="71"/>
      <c r="H42" s="288"/>
      <c r="I42" s="49" t="str">
        <f>IF($B42=0,"",VLOOKUP($B42,Materials[],5,FALSE))</f>
        <v/>
      </c>
      <c r="J42" s="50" t="str">
        <f>IF($B42=0,"",VLOOKUP($B42,Materials[],7,FALSE))</f>
        <v/>
      </c>
      <c r="K42" s="34">
        <f t="shared" si="2"/>
        <v>0</v>
      </c>
      <c r="L42" s="41"/>
    </row>
    <row r="43" spans="2:12" hidden="1" x14ac:dyDescent="0.2">
      <c r="B43" s="174"/>
      <c r="C43" s="315" t="str">
        <f>IF(B43=0,"",VLOOKUP($B43,Materials[],2,FALSE))</f>
        <v/>
      </c>
      <c r="D43" s="315"/>
      <c r="E43" s="315"/>
      <c r="F43" s="68"/>
      <c r="G43" s="71"/>
      <c r="H43" s="288"/>
      <c r="I43" s="49" t="str">
        <f>IF($B43=0,"",VLOOKUP($B43,Materials[],5,FALSE))</f>
        <v/>
      </c>
      <c r="J43" s="50" t="str">
        <f>IF($B43=0,"",VLOOKUP($B43,Materials[],7,FALSE))</f>
        <v/>
      </c>
      <c r="K43" s="34">
        <f t="shared" si="2"/>
        <v>0</v>
      </c>
      <c r="L43" s="41"/>
    </row>
    <row r="44" spans="2:12" hidden="1" x14ac:dyDescent="0.2">
      <c r="B44" s="174"/>
      <c r="C44" s="315" t="str">
        <f>IF(B44=0,"",VLOOKUP($B44,Materials[],2,FALSE))</f>
        <v/>
      </c>
      <c r="D44" s="315"/>
      <c r="E44" s="315"/>
      <c r="F44" s="68"/>
      <c r="G44" s="71"/>
      <c r="H44" s="288"/>
      <c r="I44" s="49" t="str">
        <f>IF($B44=0,"",VLOOKUP($B44,Materials[],5,FALSE))</f>
        <v/>
      </c>
      <c r="J44" s="50" t="str">
        <f>IF($B44=0,"",VLOOKUP($B44,Materials[],7,FALSE))</f>
        <v/>
      </c>
      <c r="K44" s="34">
        <f t="shared" si="2"/>
        <v>0</v>
      </c>
      <c r="L44" s="41"/>
    </row>
    <row r="45" spans="2:12" hidden="1" x14ac:dyDescent="0.2">
      <c r="B45" s="174"/>
      <c r="C45" s="315" t="str">
        <f>IF(B45=0,"",VLOOKUP($B45,Materials[],2,FALSE))</f>
        <v/>
      </c>
      <c r="D45" s="315"/>
      <c r="E45" s="315"/>
      <c r="F45" s="68"/>
      <c r="G45" s="71"/>
      <c r="H45" s="288"/>
      <c r="I45" s="49" t="str">
        <f>IF($B45=0,"",VLOOKUP($B45,Materials[],5,FALSE))</f>
        <v/>
      </c>
      <c r="J45" s="50" t="str">
        <f>IF($B45=0,"",VLOOKUP($B45,Materials[],7,FALSE))</f>
        <v/>
      </c>
      <c r="K45" s="34">
        <f t="shared" si="2"/>
        <v>0</v>
      </c>
      <c r="L45" s="41"/>
    </row>
    <row r="46" spans="2:12" hidden="1" x14ac:dyDescent="0.2">
      <c r="B46" s="174"/>
      <c r="C46" s="315" t="str">
        <f>IF(B46=0,"",VLOOKUP($B46,Materials[],2,FALSE))</f>
        <v/>
      </c>
      <c r="D46" s="315"/>
      <c r="E46" s="315"/>
      <c r="F46" s="68"/>
      <c r="G46" s="71"/>
      <c r="H46" s="288"/>
      <c r="I46" s="49" t="str">
        <f>IF($B46=0,"",VLOOKUP($B46,Materials[],5,FALSE))</f>
        <v/>
      </c>
      <c r="J46" s="50" t="str">
        <f>IF($B46=0,"",VLOOKUP($B46,Materials[],7,FALSE))</f>
        <v/>
      </c>
      <c r="K46" s="34">
        <f t="shared" si="2"/>
        <v>0</v>
      </c>
      <c r="L46" s="41"/>
    </row>
    <row r="47" spans="2:12" hidden="1" x14ac:dyDescent="0.2">
      <c r="B47" s="174"/>
      <c r="C47" s="315" t="str">
        <f>IF(B47=0,"",VLOOKUP($B47,Materials[],2,FALSE))</f>
        <v/>
      </c>
      <c r="D47" s="315"/>
      <c r="E47" s="315"/>
      <c r="F47" s="68"/>
      <c r="G47" s="71"/>
      <c r="H47" s="288"/>
      <c r="I47" s="49" t="str">
        <f>IF($B47=0,"",VLOOKUP($B47,Materials[],5,FALSE))</f>
        <v/>
      </c>
      <c r="J47" s="50" t="str">
        <f>IF($B47=0,"",VLOOKUP($B47,Materials[],7,FALSE))</f>
        <v/>
      </c>
      <c r="K47" s="34">
        <f t="shared" si="2"/>
        <v>0</v>
      </c>
      <c r="L47" s="41"/>
    </row>
    <row r="48" spans="2:12" hidden="1" x14ac:dyDescent="0.2">
      <c r="B48" s="174"/>
      <c r="C48" s="315" t="str">
        <f>IF(B48=0,"",VLOOKUP($B48,Materials[],2,FALSE))</f>
        <v/>
      </c>
      <c r="D48" s="315"/>
      <c r="E48" s="315"/>
      <c r="F48" s="68"/>
      <c r="G48" s="71"/>
      <c r="H48" s="288"/>
      <c r="I48" s="49" t="str">
        <f>IF($B48=0,"",VLOOKUP($B48,Materials[],5,FALSE))</f>
        <v/>
      </c>
      <c r="J48" s="50" t="str">
        <f>IF($B48=0,"",VLOOKUP($B48,Materials[],7,FALSE))</f>
        <v/>
      </c>
      <c r="K48" s="34">
        <f t="shared" si="2"/>
        <v>0</v>
      </c>
      <c r="L48" s="41"/>
    </row>
    <row r="49" spans="2:12" hidden="1" x14ac:dyDescent="0.2">
      <c r="B49" s="174"/>
      <c r="C49" s="315" t="str">
        <f>IF(B49=0,"",VLOOKUP($B49,Materials[],2,FALSE))</f>
        <v/>
      </c>
      <c r="D49" s="315"/>
      <c r="E49" s="315"/>
      <c r="F49" s="68"/>
      <c r="G49" s="71"/>
      <c r="H49" s="288"/>
      <c r="I49" s="49" t="str">
        <f>IF($B49=0,"",VLOOKUP($B49,Materials[],5,FALSE))</f>
        <v/>
      </c>
      <c r="J49" s="50" t="str">
        <f>IF($B49=0,"",VLOOKUP($B49,Materials[],7,FALSE))</f>
        <v/>
      </c>
      <c r="K49" s="34">
        <f t="shared" si="2"/>
        <v>0</v>
      </c>
      <c r="L49" s="41"/>
    </row>
    <row r="50" spans="2:12" hidden="1" x14ac:dyDescent="0.2">
      <c r="B50" s="174"/>
      <c r="C50" s="315" t="str">
        <f>IF(B50=0,"",VLOOKUP($B50,Materials[],2,FALSE))</f>
        <v/>
      </c>
      <c r="D50" s="315"/>
      <c r="E50" s="315"/>
      <c r="F50" s="68"/>
      <c r="G50" s="71"/>
      <c r="H50" s="288"/>
      <c r="I50" s="49" t="str">
        <f>IF($B50=0,"",VLOOKUP($B50,Materials[],5,FALSE))</f>
        <v/>
      </c>
      <c r="J50" s="50" t="str">
        <f>IF($B50=0,"",VLOOKUP($B50,Materials[],7,FALSE))</f>
        <v/>
      </c>
      <c r="K50" s="34">
        <f t="shared" si="2"/>
        <v>0</v>
      </c>
      <c r="L50" s="41"/>
    </row>
    <row r="51" spans="2:12" hidden="1" x14ac:dyDescent="0.2">
      <c r="B51" s="174"/>
      <c r="C51" s="315" t="str">
        <f>IF(B51=0,"",VLOOKUP($B51,Materials[],2,FALSE))</f>
        <v/>
      </c>
      <c r="D51" s="315"/>
      <c r="E51" s="315"/>
      <c r="F51" s="68"/>
      <c r="G51" s="71"/>
      <c r="H51" s="288"/>
      <c r="I51" s="49" t="str">
        <f>IF($B51=0,"",VLOOKUP($B51,Materials[],5,FALSE))</f>
        <v/>
      </c>
      <c r="J51" s="50" t="str">
        <f>IF($B51=0,"",VLOOKUP($B51,Materials[],7,FALSE))</f>
        <v/>
      </c>
      <c r="K51" s="34">
        <f t="shared" si="2"/>
        <v>0</v>
      </c>
      <c r="L51" s="41"/>
    </row>
    <row r="52" spans="2:12" hidden="1" x14ac:dyDescent="0.2">
      <c r="B52" s="174"/>
      <c r="C52" s="315" t="str">
        <f>IF(B52=0,"",VLOOKUP($B52,Materials[],2,FALSE))</f>
        <v/>
      </c>
      <c r="D52" s="315"/>
      <c r="E52" s="315"/>
      <c r="F52" s="68"/>
      <c r="G52" s="71"/>
      <c r="H52" s="288"/>
      <c r="I52" s="49" t="str">
        <f>IF($B52=0,"",VLOOKUP($B52,Materials[],5,FALSE))</f>
        <v/>
      </c>
      <c r="J52" s="50" t="str">
        <f>IF($B52=0,"",VLOOKUP($B52,Materials[],7,FALSE))</f>
        <v/>
      </c>
      <c r="K52" s="34">
        <f t="shared" si="2"/>
        <v>0</v>
      </c>
      <c r="L52" s="41"/>
    </row>
    <row r="53" spans="2:12" hidden="1" x14ac:dyDescent="0.2">
      <c r="B53" s="174"/>
      <c r="C53" s="315" t="str">
        <f>IF(B53=0,"",VLOOKUP($B53,Materials[],2,FALSE))</f>
        <v/>
      </c>
      <c r="D53" s="315"/>
      <c r="E53" s="315"/>
      <c r="F53" s="68"/>
      <c r="G53" s="71"/>
      <c r="H53" s="288"/>
      <c r="I53" s="49" t="str">
        <f>IF($B53=0,"",VLOOKUP($B53,Materials[],5,FALSE))</f>
        <v/>
      </c>
      <c r="J53" s="50" t="str">
        <f>IF($B53=0,"",VLOOKUP($B53,Materials[],7,FALSE))</f>
        <v/>
      </c>
      <c r="K53" s="34">
        <f t="shared" si="2"/>
        <v>0</v>
      </c>
      <c r="L53" s="42"/>
    </row>
    <row r="54" spans="2:12" hidden="1" x14ac:dyDescent="0.2">
      <c r="B54" s="174"/>
      <c r="C54" s="315" t="str">
        <f>IF(B54=0,"",VLOOKUP($B54,Materials[],2,FALSE))</f>
        <v/>
      </c>
      <c r="D54" s="315"/>
      <c r="E54" s="315"/>
      <c r="F54" s="68"/>
      <c r="G54" s="71"/>
      <c r="H54" s="288"/>
      <c r="I54" s="49" t="str">
        <f>IF($B54=0,"",VLOOKUP($B54,Materials[],5,FALSE))</f>
        <v/>
      </c>
      <c r="J54" s="50" t="str">
        <f>IF($B54=0,"",VLOOKUP($B54,Materials[],7,FALSE))</f>
        <v/>
      </c>
      <c r="K54" s="34">
        <f>IF(B54=0,0,ROUND(G54*H54*J54,2))</f>
        <v>0</v>
      </c>
      <c r="L54" s="42"/>
    </row>
    <row r="55" spans="2:12" hidden="1" x14ac:dyDescent="0.2">
      <c r="B55" s="174"/>
      <c r="C55" s="315" t="str">
        <f>IF(B55=0,"",VLOOKUP($B55,Materials[],2,FALSE))</f>
        <v/>
      </c>
      <c r="D55" s="315"/>
      <c r="E55" s="315"/>
      <c r="F55" s="68"/>
      <c r="G55" s="71"/>
      <c r="H55" s="288"/>
      <c r="I55" s="49" t="str">
        <f>IF($B55=0,"",VLOOKUP($B55,Materials[],5,FALSE))</f>
        <v/>
      </c>
      <c r="J55" s="50" t="str">
        <f>IF($B55=0,"",VLOOKUP($B55,Materials[],7,FALSE))</f>
        <v/>
      </c>
      <c r="K55" s="34">
        <f>IF(B55=0,0,ROUND(G55*H55*J55,2))</f>
        <v>0</v>
      </c>
      <c r="L55" s="42"/>
    </row>
    <row r="56" spans="2:12" hidden="1" x14ac:dyDescent="0.2">
      <c r="B56" s="174"/>
      <c r="C56" s="315" t="str">
        <f>IF(B56=0,"",VLOOKUP($B56,Materials[],2,FALSE))</f>
        <v/>
      </c>
      <c r="D56" s="315"/>
      <c r="E56" s="315"/>
      <c r="F56" s="68"/>
      <c r="G56" s="71"/>
      <c r="H56" s="288"/>
      <c r="I56" s="49" t="str">
        <f>IF($B56=0,"",VLOOKUP($B56,Materials[],5,FALSE))</f>
        <v/>
      </c>
      <c r="J56" s="50" t="str">
        <f>IF($B56=0,"",VLOOKUP($B56,Materials[],7,FALSE))</f>
        <v/>
      </c>
      <c r="K56" s="34">
        <f>IF(B56=0,0,ROUND(G56*H56*J56,2))</f>
        <v>0</v>
      </c>
      <c r="L56" s="42"/>
    </row>
    <row r="57" spans="2:12" hidden="1" x14ac:dyDescent="0.2">
      <c r="B57" s="174"/>
      <c r="C57" s="315" t="str">
        <f>IF(B57=0,"",VLOOKUP($B57,Materials[],2,FALSE))</f>
        <v/>
      </c>
      <c r="D57" s="315"/>
      <c r="E57" s="315"/>
      <c r="F57" s="68"/>
      <c r="G57" s="71"/>
      <c r="H57" s="288"/>
      <c r="I57" s="49" t="str">
        <f>IF($B57=0,"",VLOOKUP($B57,Materials[],5,FALSE))</f>
        <v/>
      </c>
      <c r="J57" s="50" t="str">
        <f>IF($B57=0,"",VLOOKUP($B57,Materials[],7,FALSE))</f>
        <v/>
      </c>
      <c r="K57" s="34">
        <f>IF(B57=0,0,ROUND(G57*H57*J57,2))</f>
        <v>0</v>
      </c>
      <c r="L57" s="42"/>
    </row>
    <row r="58" spans="2:12" hidden="1" x14ac:dyDescent="0.2">
      <c r="B58" s="174"/>
      <c r="C58" s="315" t="str">
        <f>IF(B58=0,"",VLOOKUP($B58,Materials[],2,FALSE))</f>
        <v/>
      </c>
      <c r="D58" s="315"/>
      <c r="E58" s="315"/>
      <c r="F58" s="68"/>
      <c r="G58" s="71"/>
      <c r="H58" s="288"/>
      <c r="I58" s="49" t="str">
        <f>IF($B58=0,"",VLOOKUP($B58,Materials[],5,FALSE))</f>
        <v/>
      </c>
      <c r="J58" s="50" t="str">
        <f>IF($B58=0,"",VLOOKUP($B58,Materials[],7,FALSE))</f>
        <v/>
      </c>
      <c r="K58" s="34">
        <f>IF(B58=0,0,ROUND(G58*H58*J58,2))</f>
        <v>0</v>
      </c>
      <c r="L58" s="42"/>
    </row>
    <row r="59" spans="2:12" hidden="1" x14ac:dyDescent="0.2">
      <c r="B59" s="174"/>
      <c r="C59" s="315" t="str">
        <f>IF(B59=0,"",VLOOKUP($B59,Materials[],2,FALSE))</f>
        <v/>
      </c>
      <c r="D59" s="315"/>
      <c r="E59" s="315"/>
      <c r="F59" s="68"/>
      <c r="G59" s="71"/>
      <c r="H59" s="288"/>
      <c r="I59" s="49" t="str">
        <f>IF($B59=0,"",VLOOKUP($B59,Materials[],5,FALSE))</f>
        <v/>
      </c>
      <c r="J59" s="50" t="str">
        <f>IF($B59=0,"",VLOOKUP($B59,Materials[],7,FALSE))</f>
        <v/>
      </c>
      <c r="K59" s="35">
        <f t="shared" si="2"/>
        <v>0</v>
      </c>
      <c r="L59" s="42"/>
    </row>
    <row r="60" spans="2:12" ht="3.75" customHeight="1" thickBot="1" x14ac:dyDescent="0.25">
      <c r="B60" s="43"/>
      <c r="C60" s="51"/>
      <c r="D60" s="51"/>
      <c r="E60" s="51"/>
      <c r="F60" s="44"/>
      <c r="G60" s="52"/>
      <c r="H60" s="53"/>
      <c r="I60" s="54"/>
      <c r="J60" s="55"/>
      <c r="K60" s="37"/>
      <c r="L60" s="45"/>
    </row>
    <row r="61" spans="2:12" ht="13.5" thickTop="1" x14ac:dyDescent="0.2">
      <c r="C61" s="46" t="s">
        <v>96</v>
      </c>
      <c r="D61" s="46"/>
      <c r="J61" s="34"/>
      <c r="K61" s="276">
        <f>SUM(K35:K59)</f>
        <v>204.05</v>
      </c>
      <c r="L61" s="41"/>
    </row>
    <row r="62" spans="2:12" x14ac:dyDescent="0.2">
      <c r="K62" s="276"/>
    </row>
    <row r="63" spans="2:12" x14ac:dyDescent="0.2">
      <c r="B63" s="40" t="s">
        <v>100</v>
      </c>
      <c r="K63" s="276">
        <f>K31+K61</f>
        <v>318.23</v>
      </c>
      <c r="L63" s="41"/>
    </row>
    <row r="64" spans="2:12" ht="13.5" thickBot="1" x14ac:dyDescent="0.25">
      <c r="D64" s="56" t="s">
        <v>403</v>
      </c>
      <c r="E64" s="57">
        <f>SUM($E$31:$H$31)+$K$61</f>
        <v>280.73</v>
      </c>
      <c r="F64" s="324" t="s">
        <v>404</v>
      </c>
      <c r="G64" s="324"/>
      <c r="H64" s="58">
        <f>'General Variables'!$B$11</f>
        <v>5.5E-2</v>
      </c>
      <c r="I64" s="59" t="str">
        <f>CONCATENATE("for ",TEXT('General Variables'!$B$12,"0.0")," mo.")</f>
        <v>for 6.0 mo.</v>
      </c>
      <c r="K64" s="277">
        <f>ROUND(E64*H64*'General Variables'!$B$12/12,2)</f>
        <v>7.72</v>
      </c>
      <c r="L64" s="60"/>
    </row>
    <row r="65" spans="2:12" ht="13.5" thickTop="1" x14ac:dyDescent="0.2">
      <c r="B65" s="40" t="s">
        <v>408</v>
      </c>
      <c r="K65" s="276">
        <f>SUM(K63:K64)</f>
        <v>325.95000000000005</v>
      </c>
      <c r="L65" s="41"/>
    </row>
    <row r="66" spans="2:12" x14ac:dyDescent="0.2">
      <c r="K66" s="276"/>
    </row>
    <row r="67" spans="2:12" x14ac:dyDescent="0.2">
      <c r="B67" s="61" t="s">
        <v>436</v>
      </c>
      <c r="C67" s="62"/>
      <c r="D67" s="62"/>
      <c r="E67" s="62"/>
      <c r="F67" s="62"/>
      <c r="G67" s="62"/>
      <c r="H67" s="62"/>
      <c r="I67" s="62"/>
      <c r="J67" s="62"/>
      <c r="K67" s="278">
        <f>'General Variables'!B14</f>
        <v>20</v>
      </c>
      <c r="L67" s="41"/>
    </row>
    <row r="68" spans="2:12" x14ac:dyDescent="0.2">
      <c r="B68" s="20" t="s">
        <v>411</v>
      </c>
      <c r="C68" s="325" t="s">
        <v>413</v>
      </c>
      <c r="D68" s="326"/>
      <c r="E68" s="327"/>
      <c r="F68" s="63">
        <f>IF(C68=0,0,VLOOKUP(C68,RETable,2,FALSE))</f>
        <v>7310</v>
      </c>
      <c r="G68" s="324" t="s">
        <v>412</v>
      </c>
      <c r="H68" s="324"/>
      <c r="I68" s="58">
        <f>'General Variables'!$B$10</f>
        <v>0.04</v>
      </c>
      <c r="K68" s="279">
        <f>ROUND(F68*I68,2)</f>
        <v>292.39999999999998</v>
      </c>
      <c r="L68" s="41"/>
    </row>
    <row r="69" spans="2:12" ht="13.5" thickBot="1" x14ac:dyDescent="0.25">
      <c r="B69" s="20" t="s">
        <v>420</v>
      </c>
      <c r="F69" s="64">
        <f>IF(C68=0,0,VLOOKUP(C68,RETable,2,FALSE))</f>
        <v>7310</v>
      </c>
      <c r="G69" s="323" t="s">
        <v>412</v>
      </c>
      <c r="H69" s="323"/>
      <c r="I69" s="65">
        <f>'General Variables'!$B$13</f>
        <v>0.01</v>
      </c>
      <c r="J69" s="1"/>
      <c r="K69" s="280">
        <f>ROUND(F69*I69,2)</f>
        <v>73.099999999999994</v>
      </c>
      <c r="L69" s="60"/>
    </row>
    <row r="70" spans="2:12" ht="13.5" thickTop="1" x14ac:dyDescent="0.2">
      <c r="B70" s="40" t="s">
        <v>425</v>
      </c>
      <c r="K70" s="276">
        <f>SUM(K65:K69)</f>
        <v>711.45</v>
      </c>
      <c r="L70" s="41"/>
    </row>
    <row r="72" spans="2:12" x14ac:dyDescent="0.2">
      <c r="B72" s="40" t="str">
        <f>"Cost per "&amp;$B$4</f>
        <v>Cost per ton</v>
      </c>
      <c r="K72" s="34">
        <f>IF(A4="Yield",0,K70/$A$4)</f>
        <v>107.79545454545456</v>
      </c>
      <c r="L72" s="41"/>
    </row>
    <row r="73" spans="2:12" x14ac:dyDescent="0.2">
      <c r="B73" s="23" t="str">
        <f>"Cash Cost per "&amp;$B$4</f>
        <v>Cash Cost per ton</v>
      </c>
      <c r="C73" s="1"/>
      <c r="D73" s="1"/>
      <c r="E73" s="1"/>
      <c r="F73" s="1"/>
      <c r="G73" s="1"/>
      <c r="H73" s="1"/>
      <c r="I73" s="1"/>
      <c r="J73" s="1"/>
      <c r="K73" s="11">
        <f>IF($A$4="Yield",0,(E64+K64+K69)/$A$4)</f>
        <v>54.780303030303045</v>
      </c>
      <c r="L73" s="66"/>
    </row>
    <row r="83" spans="2:4" x14ac:dyDescent="0.2">
      <c r="B83" s="39"/>
      <c r="C83" s="39"/>
      <c r="D83" s="39"/>
    </row>
    <row r="84" spans="2:4" x14ac:dyDescent="0.2">
      <c r="B84" s="39"/>
      <c r="C84" s="39"/>
      <c r="D84" s="39"/>
    </row>
    <row r="85" spans="2:4" x14ac:dyDescent="0.2">
      <c r="B85" s="39"/>
      <c r="C85" s="39"/>
      <c r="D85" s="39"/>
    </row>
    <row r="86" spans="2:4" x14ac:dyDescent="0.2">
      <c r="B86" s="39"/>
      <c r="C86" s="39"/>
      <c r="D86" s="39"/>
    </row>
    <row r="87" spans="2:4" x14ac:dyDescent="0.2">
      <c r="B87" s="39"/>
      <c r="C87" s="39"/>
      <c r="D87" s="39"/>
    </row>
    <row r="88" spans="2:4" x14ac:dyDescent="0.2">
      <c r="B88" s="39"/>
      <c r="C88" s="39"/>
      <c r="D88" s="39"/>
    </row>
    <row r="89" spans="2:4" x14ac:dyDescent="0.2">
      <c r="B89" s="39"/>
      <c r="C89" s="39"/>
      <c r="D89" s="39"/>
    </row>
    <row r="90" spans="2:4" x14ac:dyDescent="0.2">
      <c r="B90" s="39"/>
      <c r="C90" s="39"/>
      <c r="D90" s="39"/>
    </row>
    <row r="91" spans="2:4" x14ac:dyDescent="0.2">
      <c r="B91" s="39"/>
      <c r="C91" s="39"/>
      <c r="D91" s="39"/>
    </row>
    <row r="92" spans="2:4" x14ac:dyDescent="0.2">
      <c r="B92" s="39"/>
      <c r="C92" s="39"/>
      <c r="D92" s="39"/>
    </row>
    <row r="93" spans="2:4" x14ac:dyDescent="0.2">
      <c r="B93" s="39"/>
      <c r="C93" s="39"/>
      <c r="D93" s="39"/>
    </row>
    <row r="94" spans="2:4" x14ac:dyDescent="0.2">
      <c r="B94" s="39"/>
      <c r="C94" s="39"/>
      <c r="D94" s="39"/>
    </row>
    <row r="95" spans="2:4" x14ac:dyDescent="0.2">
      <c r="B95" s="39"/>
      <c r="C95" s="39"/>
      <c r="D95" s="39"/>
    </row>
    <row r="96" spans="2:4" x14ac:dyDescent="0.2">
      <c r="B96" s="39"/>
      <c r="C96" s="39"/>
      <c r="D96" s="39"/>
    </row>
    <row r="97" spans="2:11" x14ac:dyDescent="0.2">
      <c r="B97" s="39"/>
      <c r="C97" s="39"/>
      <c r="D97" s="39"/>
    </row>
    <row r="98" spans="2:11" x14ac:dyDescent="0.2">
      <c r="B98" s="39"/>
      <c r="C98" s="39"/>
      <c r="D98" s="39"/>
    </row>
    <row r="99" spans="2:11" x14ac:dyDescent="0.2">
      <c r="B99" s="39"/>
      <c r="C99" s="39"/>
      <c r="D99" s="39"/>
    </row>
    <row r="100" spans="2:11" x14ac:dyDescent="0.2">
      <c r="B100" s="39"/>
      <c r="C100" s="39"/>
      <c r="D100" s="39"/>
    </row>
    <row r="101" spans="2:11" x14ac:dyDescent="0.2">
      <c r="B101" s="39"/>
      <c r="C101" s="39"/>
      <c r="D101" s="39"/>
    </row>
    <row r="102" spans="2:11" x14ac:dyDescent="0.2">
      <c r="B102" s="39"/>
      <c r="C102" s="39"/>
      <c r="D102" s="39"/>
    </row>
    <row r="103" spans="2:11" x14ac:dyDescent="0.2">
      <c r="B103" s="39"/>
      <c r="C103" s="39"/>
      <c r="D103" s="39"/>
    </row>
    <row r="104" spans="2:11" x14ac:dyDescent="0.2">
      <c r="B104" s="39"/>
      <c r="C104" s="39"/>
      <c r="D104" s="39"/>
    </row>
    <row r="105" spans="2:11" x14ac:dyDescent="0.2">
      <c r="B105" s="39"/>
      <c r="C105" s="39"/>
      <c r="D105" s="39"/>
    </row>
    <row r="106" spans="2:11" x14ac:dyDescent="0.2">
      <c r="B106" s="39"/>
      <c r="C106" s="39"/>
      <c r="D106" s="39"/>
    </row>
    <row r="107" spans="2:11" x14ac:dyDescent="0.2">
      <c r="B107" s="39"/>
      <c r="C107" s="39"/>
      <c r="D107" s="39"/>
    </row>
    <row r="108" spans="2:11" x14ac:dyDescent="0.2">
      <c r="B108" s="1" t="str">
        <f>IF(Operations!A2="","",Operations!A2)</f>
        <v>Aerial Spray</v>
      </c>
      <c r="C108" s="1" t="str">
        <f>IF(Materials!B2="","",Materials!B2)</f>
        <v>10-34-0</v>
      </c>
      <c r="D108" s="1"/>
      <c r="F108" s="20" t="str">
        <f>IF('General Variables'!E5=0,"",'General Variables'!E5)</f>
        <v>Dryland (State)</v>
      </c>
    </row>
    <row r="109" spans="2:11" x14ac:dyDescent="0.2">
      <c r="B109" s="1" t="str">
        <f>IF(Operations!A3="","",Operations!A3)</f>
        <v>Anhy Apply (supplier)</v>
      </c>
      <c r="C109" s="1" t="str">
        <f>IF(Materials!B3="","",Materials!B3)</f>
        <v>10-34-0-1Z</v>
      </c>
      <c r="D109" s="1"/>
      <c r="F109" s="20" t="str">
        <f>IF('General Variables'!E6=0,"",'General Variables'!E6)</f>
        <v>Dryland (Panhandle)</v>
      </c>
      <c r="K109" s="20" t="s">
        <v>571</v>
      </c>
    </row>
    <row r="110" spans="2:11" x14ac:dyDescent="0.2">
      <c r="B110" s="1" t="str">
        <f>IF(Operations!A4="","",Operations!A4)</f>
        <v>Anhydrous Apply</v>
      </c>
      <c r="C110" s="1" t="str">
        <f>IF(Materials!B4="","",Materials!B4)</f>
        <v>11-52-0</v>
      </c>
      <c r="D110" s="1"/>
      <c r="F110" s="20" t="str">
        <f>IF('General Variables'!E7=0,"",'General Variables'!E7)</f>
        <v>Gravity (State)</v>
      </c>
      <c r="K110" s="20" t="s">
        <v>572</v>
      </c>
    </row>
    <row r="111" spans="2:11" x14ac:dyDescent="0.2">
      <c r="B111" s="1" t="str">
        <f>IF(Operations!A5="","",Operations!A5)</f>
        <v>Cart</v>
      </c>
      <c r="C111" s="1" t="str">
        <f>IF(Materials!B5="","",Materials!B5)</f>
        <v>2,4-D Amine</v>
      </c>
      <c r="D111" s="1"/>
      <c r="F111" s="20" t="str">
        <f>IF('General Variables'!E8=0,"",'General Variables'!E8)</f>
        <v>Gravity (Panhandle)</v>
      </c>
    </row>
    <row r="112" spans="2:11" x14ac:dyDescent="0.2">
      <c r="B112" s="1" t="str">
        <f>IF(Operations!A6="","",Operations!A6)</f>
        <v>Chisel</v>
      </c>
      <c r="C112" s="1" t="str">
        <f>IF(Materials!B6="","",Materials!B6)</f>
        <v>2,4-D Ester 4#</v>
      </c>
      <c r="D112" s="1"/>
      <c r="F112" s="20" t="str">
        <f>IF('General Variables'!E9=0,"",'General Variables'!E9)</f>
        <v>Pivot (State)</v>
      </c>
    </row>
    <row r="113" spans="2:6" x14ac:dyDescent="0.2">
      <c r="B113" s="1" t="str">
        <f>IF(Operations!A7="","",Operations!A7)</f>
        <v>Chop Silage</v>
      </c>
      <c r="C113" s="1" t="str">
        <f>IF(Materials!B7="","",Materials!B7)</f>
        <v xml:space="preserve">21-0-0-24S   </v>
      </c>
      <c r="D113" s="1"/>
      <c r="F113" s="20" t="str">
        <f>IF('General Variables'!E10=0,"",'General Variables'!E10)</f>
        <v>Pivot (Panhandle)</v>
      </c>
    </row>
    <row r="114" spans="2:6" x14ac:dyDescent="0.2">
      <c r="B114" s="1" t="str">
        <f>IF(Operations!A8="","",Operations!A8)</f>
        <v>Chop Stalks</v>
      </c>
      <c r="C114" s="1" t="str">
        <f>IF(Materials!B8="","",Materials!B8)</f>
        <v>28-0-0</v>
      </c>
      <c r="D114" s="1"/>
      <c r="F114" s="20" t="str">
        <f>IF('General Variables'!E11=0,"",'General Variables'!E11)</f>
        <v>Dryland (Southwest)</v>
      </c>
    </row>
    <row r="115" spans="2:6" x14ac:dyDescent="0.2">
      <c r="B115" s="1" t="str">
        <f>IF(Operations!A9="","",Operations!A9)</f>
        <v>Combine Dryland Corn</v>
      </c>
      <c r="C115" s="1" t="str">
        <f>IF(Materials!B9="","",Materials!B9)</f>
        <v>32-0-0</v>
      </c>
      <c r="D115" s="1"/>
      <c r="F115" s="235" t="str">
        <f>IF('General Variables'!E12=0,"",'General Variables'!E12)</f>
        <v>Fall Establishment</v>
      </c>
    </row>
    <row r="116" spans="2:6" x14ac:dyDescent="0.2">
      <c r="B116" s="1" t="str">
        <f>IF(Operations!A10="","",Operations!A10)</f>
        <v>Combine Dryland SB</v>
      </c>
      <c r="C116" s="1" t="str">
        <f>IF(Materials!B10="","",Materials!B10)</f>
        <v>32-0-0 (Applied by Pivot)</v>
      </c>
      <c r="D116" s="1"/>
      <c r="F116" s="235" t="str">
        <f>IF('General Variables'!E13=0,"",'General Variables'!E13)</f>
        <v>Pivot (Marginal Land)</v>
      </c>
    </row>
    <row r="117" spans="2:6" x14ac:dyDescent="0.2">
      <c r="B117" s="1" t="str">
        <f>IF(Operations!A11="","",Operations!A11)</f>
        <v>Combine Dryland SG</v>
      </c>
      <c r="C117" s="1" t="str">
        <f>IF(Materials!B11="","",Materials!B11)</f>
        <v>32-0-0 (Applied by R2)</v>
      </c>
      <c r="D117" s="1"/>
      <c r="F117" s="235" t="e">
        <f>IF('General Variables'!#REF!=0,"",'General Variables'!#REF!)</f>
        <v>#REF!</v>
      </c>
    </row>
    <row r="118" spans="2:6" x14ac:dyDescent="0.2">
      <c r="B118" s="1" t="str">
        <f>IF(Operations!A12="","",Operations!A12)</f>
        <v>Combine Irr Corn</v>
      </c>
      <c r="C118" s="1" t="str">
        <f>IF(Materials!B12="","",Materials!B12)</f>
        <v>32-0-0 (Additive)</v>
      </c>
      <c r="D118" s="1"/>
      <c r="F118" s="235" t="e">
        <f>IF('General Variables'!#REF!=0,"",'General Variables'!#REF!)</f>
        <v>#REF!</v>
      </c>
    </row>
    <row r="119" spans="2:6" x14ac:dyDescent="0.2">
      <c r="B119" s="1" t="str">
        <f>IF(Operations!A13="","",Operations!A13)</f>
        <v>Combine Irr Dry Beans</v>
      </c>
      <c r="C119" s="1" t="str">
        <f>IF(Materials!B13="","",Materials!B13)</f>
        <v>46-0-0</v>
      </c>
      <c r="D119" s="1"/>
      <c r="F119" s="235" t="e">
        <f>IF('General Variables'!#REF!=0,"",'General Variables'!#REF!)</f>
        <v>#REF!</v>
      </c>
    </row>
    <row r="120" spans="2:6" x14ac:dyDescent="0.2">
      <c r="B120" s="1" t="str">
        <f>IF(Operations!A14="","",Operations!A14)</f>
        <v>Combine Irr SB</v>
      </c>
      <c r="C120" s="1" t="str">
        <f>IF(Materials!B14="","",Materials!B14)</f>
        <v>82-0-0</v>
      </c>
      <c r="D120" s="1"/>
      <c r="F120" s="235" t="e">
        <f>IF('General Variables'!#REF!=0,"",'General Variables'!#REF!)</f>
        <v>#REF!</v>
      </c>
    </row>
    <row r="121" spans="2:6" x14ac:dyDescent="0.2">
      <c r="B121" s="1" t="str">
        <f>IF(Operations!A15="","",Operations!A15)</f>
        <v>Combine Irr SG</v>
      </c>
      <c r="C121" s="1" t="str">
        <f>IF(Materials!B15="","",Materials!B15)</f>
        <v>AAtrex 4L</v>
      </c>
      <c r="D121" s="1"/>
      <c r="F121" s="235" t="e">
        <f>IF('General Variables'!#REF!=0,"",'General Variables'!#REF!)</f>
        <v>#REF!</v>
      </c>
    </row>
    <row r="122" spans="2:6" x14ac:dyDescent="0.2">
      <c r="B122" s="1" t="str">
        <f>IF(Operations!A16="","",Operations!A16)</f>
        <v>Combine Irrigated Dry Beans with Draper Flex Platform</v>
      </c>
      <c r="C122" s="1" t="str">
        <f>IF(Materials!B16="","",Materials!B16)</f>
        <v>Aerial Spray</v>
      </c>
      <c r="D122" s="1"/>
      <c r="F122" s="20" t="e">
        <f>IF('General Variables'!#REF!=0,"",'General Variables'!#REF!)</f>
        <v>#REF!</v>
      </c>
    </row>
    <row r="123" spans="2:6" x14ac:dyDescent="0.2">
      <c r="B123" s="1" t="str">
        <f>IF(Operations!A17="","",Operations!A17)</f>
        <v>Combine Small Grain</v>
      </c>
      <c r="C123" s="1" t="str">
        <f>IF(Materials!B17="","",Materials!B17)</f>
        <v>Aim 2EC</v>
      </c>
      <c r="D123" s="1"/>
      <c r="F123" s="20" t="e">
        <f>IF('General Variables'!#REF!=0,"",'General Variables'!#REF!)</f>
        <v>#REF!</v>
      </c>
    </row>
    <row r="124" spans="2:6" x14ac:dyDescent="0.2">
      <c r="B124" s="1" t="str">
        <f>IF(Operations!A18="","",Operations!A18)</f>
        <v>Combine Sunflowers</v>
      </c>
      <c r="C124" s="1" t="str">
        <f>IF(Materials!B18="","",Materials!B18)</f>
        <v>Alfalfa RR w/ Inoculant</v>
      </c>
      <c r="D124" s="1"/>
      <c r="F124" s="20" t="e">
        <f>IF('General Variables'!#REF!=0,"",'General Variables'!#REF!)</f>
        <v>#REF!</v>
      </c>
    </row>
    <row r="125" spans="2:6" x14ac:dyDescent="0.2">
      <c r="B125" s="1" t="str">
        <f>IF(Operations!A19="","",Operations!A19)</f>
        <v>Corrugate</v>
      </c>
      <c r="C125" s="1" t="str">
        <f>IF(Materials!B19="","",Materials!B19)</f>
        <v>Alfalfa w/Inoculant</v>
      </c>
      <c r="D125" s="1"/>
      <c r="F125" s="20" t="e">
        <f>IF('General Variables'!#REF!=0,"",'General Variables'!#REF!)</f>
        <v>#REF!</v>
      </c>
    </row>
    <row r="126" spans="2:6" x14ac:dyDescent="0.2">
      <c r="B126" s="1" t="str">
        <f>IF(Operations!A20="","",Operations!A20)</f>
        <v>Disc</v>
      </c>
      <c r="C126" s="1" t="str">
        <f>IF(Materials!B20="","",Materials!B20)</f>
        <v>Ally Extra SGW/TOTSOL</v>
      </c>
      <c r="D126" s="1"/>
      <c r="F126" s="20" t="e">
        <f>IF('General Variables'!#REF!=0,"",'General Variables'!#REF!)</f>
        <v>#REF!</v>
      </c>
    </row>
    <row r="127" spans="2:6" x14ac:dyDescent="0.2">
      <c r="B127" s="1" t="str">
        <f>IF(Operations!A21="","",Operations!A21)</f>
        <v>Ditch Irrigation</v>
      </c>
      <c r="C127" s="1" t="str">
        <f>IF(Materials!B21="","",Materials!B21)</f>
        <v>Asana XL</v>
      </c>
      <c r="D127" s="1"/>
      <c r="F127" s="20" t="e">
        <f>IF('General Variables'!#REF!=0,"",'General Variables'!#REF!)</f>
        <v>#REF!</v>
      </c>
    </row>
    <row r="128" spans="2:6" x14ac:dyDescent="0.2">
      <c r="B128" s="1" t="str">
        <f>IF(Operations!A22="","",Operations!A22)</f>
        <v>Double Windrows</v>
      </c>
      <c r="C128" s="1" t="str">
        <f>IF(Materials!B22="","",Materials!B22)</f>
        <v>Atrazine 4L</v>
      </c>
      <c r="D128" s="1"/>
      <c r="F128" s="20" t="str">
        <f>IF('General Variables'!M3=0,"",'General Variables'!M3)</f>
        <v/>
      </c>
    </row>
    <row r="129" spans="2:6" x14ac:dyDescent="0.2">
      <c r="B129" s="1" t="str">
        <f>IF(Operations!A23="","",Operations!A23)</f>
        <v>Drill</v>
      </c>
      <c r="C129" s="1" t="str">
        <f>IF(Materials!B23="","",Materials!B23)</f>
        <v>Atrazine 90 DF</v>
      </c>
      <c r="D129" s="1"/>
      <c r="F129" s="20" t="str">
        <f>IF('General Variables'!I3=0,"",'General Variables'!I3)</f>
        <v/>
      </c>
    </row>
    <row r="130" spans="2:6" x14ac:dyDescent="0.2">
      <c r="B130" s="1" t="str">
        <f>IF(Operations!A24="","",Operations!A24)</f>
        <v>Drill w/ Fertillizer</v>
      </c>
      <c r="C130" s="1" t="str">
        <f>IF(Materials!B24="","",Materials!B24)</f>
        <v>Authority First DF</v>
      </c>
      <c r="D130" s="1"/>
      <c r="F130" s="20" t="e">
        <f>IF('General Variables'!#REF!=0,"",'General Variables'!#REF!)</f>
        <v>#REF!</v>
      </c>
    </row>
    <row r="131" spans="2:6" x14ac:dyDescent="0.2">
      <c r="B131" s="1" t="str">
        <f>IF(Operations!A25="","",Operations!A25)</f>
        <v>Dry Grain</v>
      </c>
      <c r="C131" s="1" t="str">
        <f>IF(Materials!B25="","",Materials!B25)</f>
        <v>Balance Flexx</v>
      </c>
      <c r="D131" s="1"/>
      <c r="F131" s="20" t="e">
        <f>IF('General Variables'!#REF!=0,"",'General Variables'!#REF!)</f>
        <v>#REF!</v>
      </c>
    </row>
    <row r="132" spans="2:6" x14ac:dyDescent="0.2">
      <c r="B132" s="1" t="str">
        <f>IF(Operations!A26="","",Operations!A26)</f>
        <v>Fallow Master</v>
      </c>
      <c r="C132" s="1" t="str">
        <f>IF(Materials!B26="","",Materials!B26)</f>
        <v>Bale Lg Sq 1360 lb</v>
      </c>
      <c r="D132" s="1"/>
      <c r="F132" s="20" t="e">
        <f>IF('General Variables'!#REF!=0,"",'General Variables'!#REF!)</f>
        <v>#REF!</v>
      </c>
    </row>
    <row r="133" spans="2:6" x14ac:dyDescent="0.2">
      <c r="B133" s="1" t="str">
        <f>IF(Operations!A27="","",Operations!A27)</f>
        <v>Field Cultivation</v>
      </c>
      <c r="C133" s="1" t="str">
        <f>IF(Materials!B27="","",Materials!B27)</f>
        <v>Basagran</v>
      </c>
      <c r="D133" s="1"/>
      <c r="F133" s="20" t="e">
        <f>IF('General Variables'!#REF!=0,"",'General Variables'!#REF!)</f>
        <v>#REF!</v>
      </c>
    </row>
    <row r="134" spans="2:6" x14ac:dyDescent="0.2">
      <c r="B134" s="1" t="str">
        <f>IF(Operations!A28="","",Operations!A28)</f>
        <v>Grass Drill</v>
      </c>
      <c r="C134" s="1" t="str">
        <f>IF(Materials!B28="","",Materials!B28)</f>
        <v>Bicep II Magnum</v>
      </c>
      <c r="D134" s="1"/>
    </row>
    <row r="135" spans="2:6" x14ac:dyDescent="0.2">
      <c r="B135" s="1" t="str">
        <f>IF(Operations!A29="","",Operations!A29)</f>
        <v>Harrow</v>
      </c>
      <c r="C135" s="1" t="str">
        <f>IF(Materials!B29="","",Materials!B29)</f>
        <v>Brigade 2EC</v>
      </c>
      <c r="D135" s="1"/>
    </row>
    <row r="136" spans="2:6" x14ac:dyDescent="0.2">
      <c r="B136" s="1" t="str">
        <f>IF(Operations!A30="","",Operations!A30)</f>
        <v>Hoe</v>
      </c>
      <c r="C136" s="1" t="str">
        <f>IF(Materials!B30="","",Materials!B30)</f>
        <v>Buctril 4E</v>
      </c>
      <c r="D136" s="1"/>
    </row>
    <row r="137" spans="2:6" x14ac:dyDescent="0.2">
      <c r="B137" s="1" t="str">
        <f>IF(Operations!A31="","",Operations!A31)</f>
        <v>Lg Rd Bale</v>
      </c>
      <c r="C137" s="1" t="str">
        <f>IF(Materials!B31="","",Materials!B31)</f>
        <v>Capture LFR</v>
      </c>
      <c r="D137" s="1"/>
    </row>
    <row r="138" spans="2:6" x14ac:dyDescent="0.2">
      <c r="B138" s="1" t="str">
        <f>IF(Operations!A32="","",Operations!A32)</f>
        <v>Lg Sq Bale</v>
      </c>
      <c r="C138" s="1" t="str">
        <f>IF(Materials!B32="","",Materials!B32)</f>
        <v>Chop, Haul, Pack</v>
      </c>
      <c r="D138" s="1"/>
    </row>
    <row r="139" spans="2:6" x14ac:dyDescent="0.2">
      <c r="B139" s="1" t="str">
        <f>IF(Operations!A33="","",Operations!A33)</f>
        <v>Lift Beets</v>
      </c>
      <c r="C139" s="1" t="str">
        <f>IF(Materials!B33="","",Materials!B33)</f>
        <v>Copper</v>
      </c>
      <c r="D139" s="1"/>
    </row>
    <row r="140" spans="2:6" x14ac:dyDescent="0.2">
      <c r="B140" s="1" t="str">
        <f>IF(Operations!A34="","",Operations!A34)</f>
        <v>Load Lg Sq</v>
      </c>
      <c r="C140" s="1" t="str">
        <f>IF(Materials!B34="","",Materials!B34)</f>
        <v>Corn</v>
      </c>
      <c r="D140" s="1"/>
    </row>
    <row r="141" spans="2:6" x14ac:dyDescent="0.2">
      <c r="B141" s="1" t="str">
        <f>IF(Operations!A35="","",Operations!A35)</f>
        <v>Move Lg Rd</v>
      </c>
      <c r="C141" s="1" t="str">
        <f>IF(Materials!B35="","",Materials!B35)</f>
        <v>Corn Bt ECB</v>
      </c>
      <c r="D141" s="1"/>
    </row>
    <row r="142" spans="2:6" x14ac:dyDescent="0.2">
      <c r="B142" s="1" t="str">
        <f>IF(Operations!A36="","",Operations!A36)</f>
        <v>No-Till Drill</v>
      </c>
      <c r="C142" s="1" t="str">
        <f>IF(Materials!B36="","",Materials!B36)</f>
        <v>Corn Bt ECB&amp;RW</v>
      </c>
      <c r="D142" s="1"/>
    </row>
    <row r="143" spans="2:6" x14ac:dyDescent="0.2">
      <c r="B143" s="1" t="str">
        <f>IF(Operations!A37="","",Operations!A37)</f>
        <v>Pickett Windrowers</v>
      </c>
      <c r="C143" s="1" t="str">
        <f>IF(Materials!B37="","",Materials!B37)</f>
        <v>Corn Bt, ECB, RW &amp; RR2</v>
      </c>
      <c r="D143" s="1"/>
    </row>
    <row r="144" spans="2:6" x14ac:dyDescent="0.2">
      <c r="B144" s="1" t="str">
        <f>IF(Operations!A38="","",Operations!A38)</f>
        <v>Pipe D125’ Lift</v>
      </c>
      <c r="C144" s="1" t="str">
        <f>IF(Materials!B38="","",Materials!B38)</f>
        <v>Corn ECB &amp; RR2</v>
      </c>
      <c r="D144" s="1"/>
    </row>
    <row r="145" spans="2:4" x14ac:dyDescent="0.2">
      <c r="B145" s="1" t="str">
        <f>IF(Operations!A39="","",Operations!A39)</f>
        <v>PivotD 125’Lift</v>
      </c>
      <c r="C145" s="1" t="str">
        <f>IF(Materials!B39="","",Materials!B39)</f>
        <v>Corn RR2</v>
      </c>
      <c r="D145" s="1"/>
    </row>
    <row r="146" spans="2:4" x14ac:dyDescent="0.2">
      <c r="B146" s="1" t="str">
        <f>IF(Operations!A40="","",Operations!A40)</f>
        <v>PivotD 125’Lift w/fertigation</v>
      </c>
      <c r="C146" s="1" t="str">
        <f>IF(Materials!B40="","",Materials!B40)</f>
        <v xml:space="preserve">Corn SmartStax RIB Complete </v>
      </c>
      <c r="D146" s="1"/>
    </row>
    <row r="147" spans="2:4" x14ac:dyDescent="0.2">
      <c r="B147" s="1" t="str">
        <f>IF(Operations!A41="","",Operations!A41)</f>
        <v>PivotE 125’Lift</v>
      </c>
      <c r="C147" s="1" t="str">
        <f>IF(Materials!B41="","",Materials!B41)</f>
        <v>Cover Crop</v>
      </c>
      <c r="D147" s="1"/>
    </row>
    <row r="148" spans="2:4" x14ac:dyDescent="0.2">
      <c r="B148" s="1" t="str">
        <f>IF(Operations!A42="","",Operations!A42)</f>
        <v>PivotE 125’Lift w/fertigation</v>
      </c>
      <c r="C148" s="1" t="str">
        <f>IF(Materials!B42="","",Materials!B42)</f>
        <v>Cover Crop Legume</v>
      </c>
      <c r="D148" s="1"/>
    </row>
    <row r="149" spans="2:4" x14ac:dyDescent="0.2">
      <c r="B149" s="1" t="str">
        <f>IF(Operations!A43="","",Operations!A43)</f>
        <v>Plant</v>
      </c>
      <c r="C149" s="1" t="str">
        <f>IF(Materials!B43="","",Materials!B43)</f>
        <v>Crop Oil Concentrate</v>
      </c>
      <c r="D149" s="1"/>
    </row>
    <row r="150" spans="2:4" x14ac:dyDescent="0.2">
      <c r="B150" s="1" t="str">
        <f>IF(Operations!A44="","",Operations!A44)</f>
        <v>Plant Narrow Row</v>
      </c>
      <c r="C150" s="1" t="str">
        <f>IF(Materials!B44="","",Materials!B44)</f>
        <v>Dicamba</v>
      </c>
      <c r="D150" s="1"/>
    </row>
    <row r="151" spans="2:4" x14ac:dyDescent="0.2">
      <c r="B151" s="1" t="str">
        <f>IF(Operations!A45="","",Operations!A45)</f>
        <v>Plant No-Till</v>
      </c>
      <c r="C151" s="1" t="str">
        <f>IF(Materials!B45="","",Materials!B45)</f>
        <v>Distinct</v>
      </c>
      <c r="D151" s="1"/>
    </row>
    <row r="152" spans="2:4" x14ac:dyDescent="0.2">
      <c r="B152" s="1" t="str">
        <f>IF(Operations!A46="","",Operations!A46)</f>
        <v>Plow</v>
      </c>
      <c r="C152" s="1" t="str">
        <f>IF(Materials!B46="","",Materials!B46)</f>
        <v>Dry 2 Points Removed</v>
      </c>
      <c r="D152" s="1"/>
    </row>
    <row r="153" spans="2:4" x14ac:dyDescent="0.2">
      <c r="B153" s="1" t="str">
        <f>IF(Operations!A47="","",Operations!A47)</f>
        <v>Ridge Cultivate/Ditch</v>
      </c>
      <c r="C153" s="1" t="str">
        <f>IF(Materials!B47="","",Materials!B47)</f>
        <v>Edible Beans</v>
      </c>
      <c r="D153" s="1"/>
    </row>
    <row r="154" spans="2:4" x14ac:dyDescent="0.2">
      <c r="B154" s="1" t="str">
        <f>IF(Operations!A48="","",Operations!A48)</f>
        <v>Ridge Cultivation</v>
      </c>
      <c r="C154" s="1" t="str">
        <f>IF(Materials!B48="","",Materials!B48)</f>
        <v>Electricity Fixed</v>
      </c>
      <c r="D154" s="1"/>
    </row>
    <row r="155" spans="2:4" x14ac:dyDescent="0.2">
      <c r="B155" s="1" t="str">
        <f>IF(Operations!A49="","",Operations!A49)</f>
        <v>Ridge Plant</v>
      </c>
      <c r="C155" s="1" t="str">
        <f>IF(Materials!B49="","",Materials!B49)</f>
        <v>Electricity Usage</v>
      </c>
      <c r="D155" s="1"/>
    </row>
    <row r="156" spans="2:4" x14ac:dyDescent="0.2">
      <c r="B156" s="1" t="str">
        <f>IF(Operations!A50="","",Operations!A50)</f>
        <v>Ridge plant and band herb.</v>
      </c>
      <c r="C156" s="1" t="str">
        <f>IF(Materials!B50="","",Materials!B50)</f>
        <v>Expert</v>
      </c>
      <c r="D156" s="1"/>
    </row>
    <row r="157" spans="2:4" x14ac:dyDescent="0.2">
      <c r="B157" s="1" t="str">
        <f>IF(Operations!A51="","",Operations!A51)</f>
        <v>Rod Weeder</v>
      </c>
      <c r="C157" s="1" t="str">
        <f>IF(Materials!B51="","",Materials!B51)</f>
        <v>Fence/water repairs</v>
      </c>
      <c r="D157" s="1"/>
    </row>
    <row r="158" spans="2:4" x14ac:dyDescent="0.2">
      <c r="B158" s="1" t="str">
        <f>IF(Operations!A52="","",Operations!A52)</f>
        <v>Rod Weeder &amp; Fertilizer</v>
      </c>
      <c r="C158" s="1" t="str">
        <f>IF(Materials!B52="","",Materials!B52)</f>
        <v>Glyphosate w/Surf</v>
      </c>
      <c r="D158" s="1"/>
    </row>
    <row r="159" spans="2:4" x14ac:dyDescent="0.2">
      <c r="B159" s="1" t="str">
        <f>IF(Operations!A53="","",Operations!A53)</f>
        <v>Roll</v>
      </c>
      <c r="C159" s="1" t="str">
        <f>IF(Materials!B53="","",Materials!B53)</f>
        <v>Gramoxone SL</v>
      </c>
      <c r="D159" s="1"/>
    </row>
    <row r="160" spans="2:4" x14ac:dyDescent="0.2">
      <c r="B160" s="1" t="str">
        <f>IF(Operations!A54="","",Operations!A54)</f>
        <v>Roller Harrow</v>
      </c>
      <c r="C160" s="1" t="str">
        <f>IF(Materials!B54="","",Materials!B54)</f>
        <v>Grass Drill</v>
      </c>
      <c r="D160" s="1"/>
    </row>
    <row r="161" spans="2:4" x14ac:dyDescent="0.2">
      <c r="B161" s="1" t="str">
        <f>IF(Operations!A55="","",Operations!A55)</f>
        <v>Row Crop Cultivation</v>
      </c>
      <c r="C161" s="1" t="str">
        <f>IF(Materials!B55="","",Materials!B55)</f>
        <v>Grass Seed</v>
      </c>
      <c r="D161" s="1"/>
    </row>
    <row r="162" spans="2:4" x14ac:dyDescent="0.2">
      <c r="B162" s="1" t="str">
        <f>IF(Operations!A56="","",Operations!A56)</f>
        <v>Seeder/Packer</v>
      </c>
      <c r="C162" s="1" t="str">
        <f>IF(Materials!B56="","",Materials!B56)</f>
        <v>Haul &amp; Apply Manure</v>
      </c>
      <c r="D162" s="1"/>
    </row>
    <row r="163" spans="2:4" x14ac:dyDescent="0.2">
      <c r="B163" s="1" t="str">
        <f>IF(Operations!A57="","",Operations!A57)</f>
        <v>Spray</v>
      </c>
      <c r="C163" s="1" t="str">
        <f>IF(Materials!B57="","",Materials!B57)</f>
        <v>Haul Beets</v>
      </c>
      <c r="D163" s="1"/>
    </row>
    <row r="164" spans="2:4" x14ac:dyDescent="0.2">
      <c r="B164" s="1" t="str">
        <f>IF(Operations!A58="","",Operations!A58)</f>
        <v>Spray (on Disk)</v>
      </c>
      <c r="C164" s="1" t="str">
        <f>IF(Materials!B58="","",Materials!B58)</f>
        <v>Haul Grain (Dry Beans)</v>
      </c>
      <c r="D164" s="1"/>
    </row>
    <row r="165" spans="2:4" x14ac:dyDescent="0.2">
      <c r="B165" s="1" t="str">
        <f>IF(Operations!A59="","",Operations!A59)</f>
        <v>Spray (on Field Cultivator)</v>
      </c>
      <c r="C165" s="1" t="str">
        <f>IF(Materials!B59="","",Materials!B59)</f>
        <v>Haul Grain (Millet)</v>
      </c>
      <c r="D165" s="1"/>
    </row>
    <row r="166" spans="2:4" x14ac:dyDescent="0.2">
      <c r="B166" s="1" t="str">
        <f>IF(Operations!A60="","",Operations!A60)</f>
        <v>Spray (Prior Year Stubble)</v>
      </c>
      <c r="C166" s="1" t="str">
        <f>IF(Materials!B60="","",Materials!B60)</f>
        <v>Haul Grain (Sunflower)</v>
      </c>
      <c r="D166" s="1"/>
    </row>
    <row r="167" spans="2:4" x14ac:dyDescent="0.2">
      <c r="B167" s="1" t="str">
        <f>IF(Operations!A61="","",Operations!A61)</f>
        <v>Spray Fertilizer</v>
      </c>
      <c r="C167" s="1" t="str">
        <f>IF(Materials!B61="","",Materials!B61)</f>
        <v>Haul Grain bu</v>
      </c>
      <c r="D167" s="1"/>
    </row>
    <row r="168" spans="2:4" x14ac:dyDescent="0.2">
      <c r="B168" s="1" t="str">
        <f>IF(Operations!A62="","",Operations!A62)</f>
        <v>Spray fertilizer and herbicide</v>
      </c>
      <c r="C168" s="1" t="str">
        <f>IF(Materials!B62="","",Materials!B62)</f>
        <v>Headline AMP</v>
      </c>
      <c r="D168" s="1"/>
    </row>
    <row r="169" spans="2:4" x14ac:dyDescent="0.2">
      <c r="B169" s="1" t="str">
        <f>IF(Operations!A63="","",Operations!A63)</f>
        <v>Spread manure</v>
      </c>
      <c r="C169" s="1" t="str">
        <f>IF(Materials!B63="","",Materials!B63)</f>
        <v>Huskie</v>
      </c>
      <c r="D169" s="1"/>
    </row>
    <row r="170" spans="2:4" x14ac:dyDescent="0.2">
      <c r="B170" s="1" t="str">
        <f>IF(Operations!A64="","",Operations!A64)</f>
        <v>Spread, Fertilizer</v>
      </c>
      <c r="C170" s="1" t="str">
        <f>IF(Materials!B64="","",Materials!B64)</f>
        <v>Irrigation District O&amp;M Charge</v>
      </c>
      <c r="D170" s="1"/>
    </row>
    <row r="171" spans="2:4" x14ac:dyDescent="0.2">
      <c r="B171" s="1" t="str">
        <f>IF(Operations!A65="","",Operations!A65)</f>
        <v>Sm Sq Bale</v>
      </c>
      <c r="C171" s="1" t="str">
        <f>IF(Materials!B65="","",Materials!B65)</f>
        <v>Landmaster BW</v>
      </c>
      <c r="D171" s="1"/>
    </row>
    <row r="172" spans="2:4" x14ac:dyDescent="0.2">
      <c r="B172" s="1" t="str">
        <f>IF(Operations!A66="","",Operations!A66)</f>
        <v>Stack Sm Sq</v>
      </c>
      <c r="C172" s="1" t="str">
        <f>IF(Materials!B66="","",Materials!B66)</f>
        <v>Laudis</v>
      </c>
      <c r="D172" s="1"/>
    </row>
    <row r="173" spans="2:4" x14ac:dyDescent="0.2">
      <c r="B173" s="1" t="str">
        <f>IF(Operations!A67="","",Operations!A67)</f>
        <v>Subsoil</v>
      </c>
      <c r="C173" s="1" t="str">
        <f>IF(Materials!B67="","",Materials!B67)</f>
        <v>Load Large Square Bales</v>
      </c>
      <c r="D173" s="1"/>
    </row>
    <row r="174" spans="2:4" x14ac:dyDescent="0.2">
      <c r="B174" s="1" t="str">
        <f>IF(Operations!A68="","",Operations!A68)</f>
        <v>Till Plant Beets</v>
      </c>
      <c r="C174" s="1" t="str">
        <f>IF(Materials!B68="","",Materials!B68)</f>
        <v>Lorsban 15 G</v>
      </c>
      <c r="D174" s="1"/>
    </row>
    <row r="175" spans="2:4" x14ac:dyDescent="0.2">
      <c r="B175" s="1" t="str">
        <f>IF(Operations!A69="","",Operations!A69)</f>
        <v>Top Beets</v>
      </c>
      <c r="C175" s="1" t="str">
        <f>IF(Materials!B69="","",Materials!B69)</f>
        <v>Lorsban 4 E</v>
      </c>
      <c r="D175" s="1"/>
    </row>
    <row r="176" spans="2:4" x14ac:dyDescent="0.2">
      <c r="B176" s="1" t="str">
        <f>IF(Operations!A70="","",Operations!A70)</f>
        <v>Truck</v>
      </c>
      <c r="C176" s="1" t="str">
        <f>IF(Materials!B70="","",Materials!B70)</f>
        <v>Lumax EZ</v>
      </c>
      <c r="D176" s="1"/>
    </row>
    <row r="177" spans="2:4" x14ac:dyDescent="0.2">
      <c r="B177" s="1" t="str">
        <f>IF(Operations!A71="","",Operations!A71)</f>
        <v>Turn Windrows</v>
      </c>
      <c r="C177" s="1" t="str">
        <f>IF(Materials!B71="","",Materials!B71)</f>
        <v>Millet</v>
      </c>
      <c r="D177" s="1"/>
    </row>
    <row r="178" spans="2:4" x14ac:dyDescent="0.2">
      <c r="B178" s="1" t="str">
        <f>IF(Operations!A72="","",Operations!A72)</f>
        <v>Swath/Cond Hay</v>
      </c>
      <c r="C178" s="1" t="str">
        <f>IF(Materials!B72="","",Materials!B72)</f>
        <v>Move Cattle</v>
      </c>
      <c r="D178" s="1"/>
    </row>
    <row r="179" spans="2:4" x14ac:dyDescent="0.2">
      <c r="B179" s="1" t="str">
        <f>IF(Operations!A73="","",Operations!A73)</f>
        <v>Windrow Grain</v>
      </c>
      <c r="C179" s="1" t="str">
        <f>IF(Materials!B73="","",Materials!B73)</f>
        <v>Mustang Max EC</v>
      </c>
      <c r="D179" s="1"/>
    </row>
    <row r="180" spans="2:4" x14ac:dyDescent="0.2">
      <c r="B180" s="1" t="str">
        <f>IF(Operations!A74="","",Operations!A74)</f>
        <v/>
      </c>
      <c r="C180" s="1" t="str">
        <f>IF(Materials!B74="","",Materials!B74)</f>
        <v>NIS</v>
      </c>
      <c r="D180" s="1"/>
    </row>
    <row r="181" spans="2:4" x14ac:dyDescent="0.2">
      <c r="B181" s="1" t="str">
        <f>IF(Operations!A75="","",Operations!A75)</f>
        <v/>
      </c>
      <c r="C181" s="1" t="str">
        <f>IF(Materials!B75="","",Materials!B75)</f>
        <v>Oats</v>
      </c>
      <c r="D181" s="1"/>
    </row>
    <row r="182" spans="2:4" x14ac:dyDescent="0.2">
      <c r="B182" s="1" t="str">
        <f>IF(Operations!A76="","",Operations!A76)</f>
        <v/>
      </c>
      <c r="C182" s="1" t="str">
        <f>IF(Materials!B76="","",Materials!B76)</f>
        <v>Outlook</v>
      </c>
      <c r="D182" s="1"/>
    </row>
    <row r="183" spans="2:4" x14ac:dyDescent="0.2">
      <c r="B183" s="1" t="str">
        <f>IF(Operations!A77="","",Operations!A77)</f>
        <v/>
      </c>
      <c r="C183" s="1" t="str">
        <f>IF(Materials!B77="","",Materials!B77)</f>
        <v>Pea Seed Innoculent</v>
      </c>
      <c r="D183" s="1"/>
    </row>
    <row r="184" spans="2:4" x14ac:dyDescent="0.2">
      <c r="B184" s="1" t="str">
        <f>IF(Operations!A78="","",Operations!A78)</f>
        <v/>
      </c>
      <c r="C184" s="1" t="str">
        <f>IF(Materials!B78="","",Materials!B78)</f>
        <v>Peak</v>
      </c>
      <c r="D184" s="1"/>
    </row>
    <row r="185" spans="2:4" x14ac:dyDescent="0.2">
      <c r="B185" s="1" t="str">
        <f>IF(Operations!A79="","",Operations!A79)</f>
        <v/>
      </c>
      <c r="C185" s="1" t="str">
        <f>IF(Materials!B79="","",Materials!B79)</f>
        <v>Peas</v>
      </c>
      <c r="D185" s="1"/>
    </row>
    <row r="186" spans="2:4" x14ac:dyDescent="0.2">
      <c r="B186" s="1" t="str">
        <f>IF(Operations!A80="","",Operations!A80)</f>
        <v/>
      </c>
      <c r="C186" s="1" t="str">
        <f>IF(Materials!B80="","",Materials!B80)</f>
        <v>Priaxor</v>
      </c>
      <c r="D186" s="1"/>
    </row>
    <row r="187" spans="2:4" x14ac:dyDescent="0.2">
      <c r="B187" s="1" t="str">
        <f>IF(Operations!A81="","",Operations!A81)</f>
        <v/>
      </c>
      <c r="C187" s="1" t="str">
        <f>IF(Materials!B81="","",Materials!B81)</f>
        <v>Prowl H2O</v>
      </c>
      <c r="D187" s="1"/>
    </row>
    <row r="188" spans="2:4" x14ac:dyDescent="0.2">
      <c r="B188" s="1" t="str">
        <f>IF(Operations!A82="","",Operations!A82)</f>
        <v/>
      </c>
      <c r="C188" s="1" t="str">
        <f>IF(Materials!B82="","",Materials!B82)</f>
        <v xml:space="preserve">Pursuit </v>
      </c>
      <c r="D188" s="1"/>
    </row>
    <row r="189" spans="2:4" x14ac:dyDescent="0.2">
      <c r="B189" s="1" t="str">
        <f>IF(Operations!A83="","",Operations!A83)</f>
        <v/>
      </c>
      <c r="C189" s="1" t="str">
        <f>IF(Materials!B83="","",Materials!B83)</f>
        <v>Quadris</v>
      </c>
      <c r="D189" s="1"/>
    </row>
    <row r="190" spans="2:4" x14ac:dyDescent="0.2">
      <c r="B190" s="1" t="str">
        <f>IF(Operations!A84="","",Operations!A84)</f>
        <v/>
      </c>
      <c r="C190" s="1" t="str">
        <f>IF(Materials!B84="","",Materials!B84)</f>
        <v>Quilt Xcel</v>
      </c>
      <c r="D190" s="1"/>
    </row>
    <row r="191" spans="2:4" x14ac:dyDescent="0.2">
      <c r="B191" s="1" t="str">
        <f>IF(Operations!A85="","",Operations!A85)</f>
        <v/>
      </c>
      <c r="C191" s="1" t="str">
        <f>IF(Materials!B85="","",Materials!B85)</f>
        <v>Raptor</v>
      </c>
      <c r="D191" s="1"/>
    </row>
    <row r="192" spans="2:4" x14ac:dyDescent="0.2">
      <c r="B192" s="1" t="str">
        <f>IF(Operations!A86="","",Operations!A86)</f>
        <v/>
      </c>
      <c r="C192" s="1" t="str">
        <f>IF(Materials!B86="","",Materials!B86)</f>
        <v>Regent 4 SC</v>
      </c>
      <c r="D192" s="1"/>
    </row>
    <row r="193" spans="2:4" x14ac:dyDescent="0.2">
      <c r="B193" s="1" t="str">
        <f>IF(Operations!A87="","",Operations!A87)</f>
        <v/>
      </c>
      <c r="C193" s="1" t="str">
        <f>IF(Materials!B87="","",Materials!B87)</f>
        <v>Roundup WeatherMax</v>
      </c>
      <c r="D193" s="1"/>
    </row>
    <row r="194" spans="2:4" x14ac:dyDescent="0.2">
      <c r="B194" s="1" t="str">
        <f>IF(Operations!A88="","",Operations!A88)</f>
        <v/>
      </c>
      <c r="C194" s="1" t="str">
        <f>IF(Materials!B88="","",Materials!B88)</f>
        <v>RR Soybeans</v>
      </c>
      <c r="D194" s="1"/>
    </row>
    <row r="195" spans="2:4" x14ac:dyDescent="0.2">
      <c r="B195" s="1" t="str">
        <f>IF(Operations!A89="","",Operations!A89)</f>
        <v/>
      </c>
      <c r="C195" s="1" t="str">
        <f>IF(Materials!B89="","",Materials!B89)</f>
        <v>RR Soybeans Treated</v>
      </c>
      <c r="D195" s="1"/>
    </row>
    <row r="196" spans="2:4" x14ac:dyDescent="0.2">
      <c r="B196" s="1" t="str">
        <f>IF(Operations!A90="","",Operations!A90)</f>
        <v/>
      </c>
      <c r="C196" s="1" t="str">
        <f>IF(Materials!B90="","",Materials!B90)</f>
        <v>RR2 Soybeans</v>
      </c>
      <c r="D196" s="1"/>
    </row>
    <row r="197" spans="2:4" x14ac:dyDescent="0.2">
      <c r="B197" s="1" t="str">
        <f>IF(Operations!A91="","",Operations!A91)</f>
        <v/>
      </c>
      <c r="C197" s="1" t="str">
        <f>IF(Materials!B91="","",Materials!B91)</f>
        <v>RR2 Soybeans Treated</v>
      </c>
      <c r="D197" s="1"/>
    </row>
    <row r="198" spans="2:4" x14ac:dyDescent="0.2">
      <c r="B198" s="1" t="str">
        <f>IF(Operations!A92="","",Operations!A92)</f>
        <v/>
      </c>
      <c r="C198" s="1" t="str">
        <f>IF(Materials!B92="","",Materials!B92)</f>
        <v>Rugged</v>
      </c>
      <c r="D198" s="1"/>
    </row>
    <row r="199" spans="2:4" x14ac:dyDescent="0.2">
      <c r="B199" s="1" t="str">
        <f>IF(Operations!A93="","",Operations!A93)</f>
        <v/>
      </c>
      <c r="C199" s="1" t="str">
        <f>IF(Materials!B93="","",Materials!B93)</f>
        <v>Scouting Drybeans</v>
      </c>
      <c r="D199" s="1"/>
    </row>
    <row r="200" spans="2:4" x14ac:dyDescent="0.2">
      <c r="B200" s="1" t="str">
        <f>IF(Operations!A94="","",Operations!A94)</f>
        <v/>
      </c>
      <c r="C200" s="1" t="str">
        <f>IF(Materials!B94="","",Materials!B94)</f>
        <v>Scouting Dryland Corn</v>
      </c>
      <c r="D200" s="1"/>
    </row>
    <row r="201" spans="2:4" x14ac:dyDescent="0.2">
      <c r="B201" s="1" t="str">
        <f>IF(Operations!A95="","",Operations!A95)</f>
        <v/>
      </c>
      <c r="C201" s="1" t="str">
        <f>IF(Materials!B95="","",Materials!B95)</f>
        <v>Scouting Dryland Soybeans</v>
      </c>
      <c r="D201" s="1"/>
    </row>
    <row r="202" spans="2:4" x14ac:dyDescent="0.2">
      <c r="B202" s="1" t="str">
        <f>IF(Operations!A96="","",Operations!A96)</f>
        <v/>
      </c>
      <c r="C202" s="1" t="str">
        <f>IF(Materials!B96="","",Materials!B96)</f>
        <v>Scouting Grain Sorghum</v>
      </c>
      <c r="D202" s="1"/>
    </row>
    <row r="203" spans="2:4" x14ac:dyDescent="0.2">
      <c r="B203" s="1" t="str">
        <f>IF(Operations!A97="","",Operations!A97)</f>
        <v/>
      </c>
      <c r="C203" s="1" t="str">
        <f>IF(Materials!B97="","",Materials!B97)</f>
        <v>Scouting Irrigated Corn</v>
      </c>
      <c r="D203" s="1"/>
    </row>
    <row r="204" spans="2:4" x14ac:dyDescent="0.2">
      <c r="B204" s="1" t="str">
        <f>IF(Operations!A98="","",Operations!A98)</f>
        <v/>
      </c>
      <c r="C204" s="1" t="str">
        <f>IF(Materials!B98="","",Materials!B98)</f>
        <v>Scouting Irrigated SB</v>
      </c>
      <c r="D204" s="1"/>
    </row>
    <row r="205" spans="2:4" x14ac:dyDescent="0.2">
      <c r="B205" s="1" t="str">
        <f>IF(Operations!A99="","",Operations!A99)</f>
        <v/>
      </c>
      <c r="C205" s="1" t="str">
        <f>IF(Materials!B99="","",Materials!B99)</f>
        <v>Scouting Sugar Beets</v>
      </c>
      <c r="D205" s="1"/>
    </row>
    <row r="206" spans="2:4" x14ac:dyDescent="0.2">
      <c r="B206" s="1" t="str">
        <f>IF(Operations!A100="","",Operations!A100)</f>
        <v/>
      </c>
      <c r="C206" s="1" t="str">
        <f>IF(Materials!B100="","",Materials!B100)</f>
        <v>Scouting Wheat</v>
      </c>
      <c r="D206" s="1"/>
    </row>
    <row r="207" spans="2:4" x14ac:dyDescent="0.2">
      <c r="B207" s="1" t="str">
        <f>IF(Operations!A103="","",Operations!A103)</f>
        <v/>
      </c>
      <c r="C207" s="1" t="str">
        <f>IF(Materials!B101="","",Materials!B101)</f>
        <v>Seeder-Packer</v>
      </c>
      <c r="D207" s="1"/>
    </row>
    <row r="208" spans="2:4" x14ac:dyDescent="0.2">
      <c r="C208" s="1" t="str">
        <f>IF(Materials!B102="","",Materials!B102)</f>
        <v>Select Max</v>
      </c>
    </row>
    <row r="209" spans="3:3" x14ac:dyDescent="0.2">
      <c r="C209" s="1" t="str">
        <f>IF(Materials!B103="","",Materials!B103)</f>
        <v>Sharpen</v>
      </c>
    </row>
    <row r="210" spans="3:3" x14ac:dyDescent="0.2">
      <c r="C210" s="1" t="str">
        <f>IF(Materials!B104="","",Materials!B104)</f>
        <v>Sorghum Safened/Insect</v>
      </c>
    </row>
    <row r="211" spans="3:3" x14ac:dyDescent="0.2">
      <c r="C211" s="1" t="str">
        <f>IF(Materials!B105="","",Materials!B105)</f>
        <v>Sorghum Sudan</v>
      </c>
    </row>
    <row r="212" spans="3:3" x14ac:dyDescent="0.2">
      <c r="C212" s="1" t="str">
        <f>IF(Materials!B106="","",Materials!B106)</f>
        <v>Spartan 4F</v>
      </c>
    </row>
    <row r="213" spans="3:3" x14ac:dyDescent="0.2">
      <c r="C213" s="1" t="str">
        <f>IF(Materials!B107="","",Materials!B107)</f>
        <v>Spirit</v>
      </c>
    </row>
    <row r="214" spans="3:3" x14ac:dyDescent="0.2">
      <c r="C214" s="1" t="str">
        <f>IF(Materials!B108="","",Materials!B108)</f>
        <v>Spray</v>
      </c>
    </row>
    <row r="215" spans="3:3" x14ac:dyDescent="0.2">
      <c r="C215" s="1" t="str">
        <f>IF(Materials!B109="","",Materials!B109)</f>
        <v>Status</v>
      </c>
    </row>
    <row r="216" spans="3:3" x14ac:dyDescent="0.2">
      <c r="C216" s="1" t="str">
        <f>IF(Materials!B110="","",Materials!B110)</f>
        <v>Stratego YLD</v>
      </c>
    </row>
    <row r="217" spans="3:3" x14ac:dyDescent="0.2">
      <c r="C217" s="1" t="str">
        <f>IF(Materials!B111="","",Materials!B111)</f>
        <v>Sugar Beets RR Poncho</v>
      </c>
    </row>
    <row r="218" spans="3:3" x14ac:dyDescent="0.2">
      <c r="C218" s="1" t="str">
        <f>IF(Materials!B112="","",Materials!B112)</f>
        <v>Sunflower</v>
      </c>
    </row>
    <row r="219" spans="3:3" x14ac:dyDescent="0.2">
      <c r="C219" s="1" t="str">
        <f>IF(Materials!B113="","",Materials!B113)</f>
        <v>Tilt</v>
      </c>
    </row>
    <row r="220" spans="3:3" x14ac:dyDescent="0.2">
      <c r="C220" s="1" t="str">
        <f>IF(Materials!B114="","",Materials!B114)</f>
        <v>Twine Lg Rd</v>
      </c>
    </row>
    <row r="221" spans="3:3" x14ac:dyDescent="0.2">
      <c r="C221" s="1" t="str">
        <f>IF(Materials!B115="","",Materials!B115)</f>
        <v>Twine Lg Sq</v>
      </c>
    </row>
    <row r="222" spans="3:3" x14ac:dyDescent="0.2">
      <c r="C222" s="1" t="str">
        <f>IF(Materials!B116="","",Materials!B116)</f>
        <v>Twine Sm Sq</v>
      </c>
    </row>
    <row r="223" spans="3:3" x14ac:dyDescent="0.2">
      <c r="C223" s="1" t="str">
        <f>IF(Materials!B117="","",Materials!B117)</f>
        <v>Uncomposted manure</v>
      </c>
    </row>
    <row r="224" spans="3:3" x14ac:dyDescent="0.2">
      <c r="C224" s="1" t="str">
        <f>IF(Materials!B118="","",Materials!B118)</f>
        <v>Valor XLT</v>
      </c>
    </row>
    <row r="225" spans="3:3" x14ac:dyDescent="0.2">
      <c r="C225" s="1" t="str">
        <f>IF(Materials!B119="","",Materials!B119)</f>
        <v>Velpar 75DF</v>
      </c>
    </row>
    <row r="226" spans="3:3" x14ac:dyDescent="0.2">
      <c r="C226" s="1" t="str">
        <f>IF(Materials!B120="","",Materials!B120)</f>
        <v>Vida</v>
      </c>
    </row>
    <row r="227" spans="3:3" x14ac:dyDescent="0.2">
      <c r="C227" s="1" t="str">
        <f>IF(Materials!B121="","",Materials!B121)</f>
        <v>Warrior II/Zeon</v>
      </c>
    </row>
    <row r="228" spans="3:3" x14ac:dyDescent="0.2">
      <c r="C228" s="1" t="str">
        <f>IF(Materials!B122="","",Materials!B122)</f>
        <v>Wheat</v>
      </c>
    </row>
    <row r="229" spans="3:3" x14ac:dyDescent="0.2">
      <c r="C229" s="1" t="str">
        <f>IF(Materials!B123="","",Materials!B123)</f>
        <v>Wheat (certified and treated)</v>
      </c>
    </row>
    <row r="230" spans="3:3" x14ac:dyDescent="0.2">
      <c r="C230" s="1" t="str">
        <f>IF(Materials!B124="","",Materials!B124)</f>
        <v/>
      </c>
    </row>
    <row r="231" spans="3:3" x14ac:dyDescent="0.2">
      <c r="C231" s="1" t="str">
        <f>IF(Materials!B125="","",Materials!B125)</f>
        <v/>
      </c>
    </row>
  </sheetData>
  <mergeCells count="43">
    <mergeCell ref="A5:L5"/>
    <mergeCell ref="B8:B9"/>
    <mergeCell ref="C8:C9"/>
    <mergeCell ref="E8:E9"/>
    <mergeCell ref="F8:F9"/>
    <mergeCell ref="G8:H8"/>
    <mergeCell ref="K8:K9"/>
    <mergeCell ref="L8:L9"/>
    <mergeCell ref="I8:J8"/>
    <mergeCell ref="F33:F34"/>
    <mergeCell ref="G33:G34"/>
    <mergeCell ref="H33:I33"/>
    <mergeCell ref="J33:J34"/>
    <mergeCell ref="L33:L34"/>
    <mergeCell ref="C57:E57"/>
    <mergeCell ref="C46:E46"/>
    <mergeCell ref="C35:E35"/>
    <mergeCell ref="C36:E36"/>
    <mergeCell ref="C37:E37"/>
    <mergeCell ref="C38:E38"/>
    <mergeCell ref="C39:E39"/>
    <mergeCell ref="C40:E40"/>
    <mergeCell ref="C41:E41"/>
    <mergeCell ref="C42:E42"/>
    <mergeCell ref="C43:E43"/>
    <mergeCell ref="C44:E44"/>
    <mergeCell ref="C45:E45"/>
    <mergeCell ref="C58:E58"/>
    <mergeCell ref="G69:H69"/>
    <mergeCell ref="C47:E47"/>
    <mergeCell ref="C48:E48"/>
    <mergeCell ref="C49:E49"/>
    <mergeCell ref="C50:E50"/>
    <mergeCell ref="C51:E51"/>
    <mergeCell ref="C52:E52"/>
    <mergeCell ref="C53:E53"/>
    <mergeCell ref="C59:E59"/>
    <mergeCell ref="F64:G64"/>
    <mergeCell ref="C68:E68"/>
    <mergeCell ref="G68:H68"/>
    <mergeCell ref="C54:E54"/>
    <mergeCell ref="C55:E55"/>
    <mergeCell ref="C56:E56"/>
  </mergeCells>
  <dataValidations count="7">
    <dataValidation type="list" allowBlank="1" showInputMessage="1" showErrorMessage="1" sqref="B60">
      <formula1>$C$108:$C$207</formula1>
    </dataValidation>
    <dataValidation type="list" allowBlank="1" showInputMessage="1" showErrorMessage="1" sqref="B30">
      <formula1>$B$108:$B$207</formula1>
    </dataValidation>
    <dataValidation type="list" allowBlank="1" showInputMessage="1" showErrorMessage="1" sqref="C68:E68">
      <formula1>$F$108:$F$155</formula1>
    </dataValidation>
    <dataValidation type="list" allowBlank="1" showInputMessage="1" showErrorMessage="1" sqref="D10:D30">
      <formula1>$O$2:$O$4</formula1>
    </dataValidation>
    <dataValidation type="list" allowBlank="1" showInputMessage="1" showErrorMessage="1" sqref="B10:B29">
      <formula1>$B$108:$B$206</formula1>
    </dataValidation>
    <dataValidation type="list" allowBlank="1" showInputMessage="1" showErrorMessage="1" sqref="B35:B59">
      <formula1>$C$108:$C$231</formula1>
    </dataValidation>
    <dataValidation type="list" allowBlank="1" showInputMessage="1" showErrorMessage="1" sqref="K6">
      <formula1>$K$108:$K$110</formula1>
    </dataValidation>
  </dataValidations>
  <pageMargins left="0.7" right="0.7" top="0.75" bottom="0.75" header="0.3" footer="0.3"/>
  <pageSetup scale="78"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4"/>
  <dimension ref="B3:J7"/>
  <sheetViews>
    <sheetView workbookViewId="0"/>
  </sheetViews>
  <sheetFormatPr defaultRowHeight="12.75" x14ac:dyDescent="0.2"/>
  <cols>
    <col min="1" max="16384" width="9.140625" style="20"/>
  </cols>
  <sheetData>
    <row r="3" spans="2:10" x14ac:dyDescent="0.2">
      <c r="B3" s="202" t="s">
        <v>286</v>
      </c>
      <c r="C3" s="203" t="s">
        <v>429</v>
      </c>
      <c r="D3" s="36">
        <f>IF(B3=0,"",'General Variables'!$B$4*VLOOKUP(B3,Operations[],10,FALSE)/VLOOKUP(B3,Operations[],9,FALSE)*LEFT(C3,2))</f>
        <v>1.2142857142857142</v>
      </c>
      <c r="E3" s="36">
        <f>IF(B3=0,0,IF(VLOOKUP(B3,Operations[],12,FALSE)=0,VLOOKUP(B3,Operations[],13,FALSE)*'General Variables'!$B$8,VLOOKUP(B3,Operations[],12,FALSE)*'General Variables'!$B$7)/VLOOKUP(B3,Operations[],9,FALSE)*LEFT(C3,2))</f>
        <v>0.61887175324675314</v>
      </c>
      <c r="F3" s="36">
        <f>IF(B3=0,0,VLOOKUP(VLOOKUP(B3,Operations[],11,FALSE),PowerUnits[],10,FALSE)/VLOOKUP(B3,Operations[],9,FALSE)*LEFT(C3,2))</f>
        <v>0.45469049999999994</v>
      </c>
      <c r="G3" s="36">
        <f>IF(B3=0,"",VLOOKUP($B3,Operations[],15,FALSE)*LEFT(C3,2))</f>
        <v>0.77807319788049112</v>
      </c>
      <c r="H3" s="36">
        <f>IF(B3=0,0,VLOOKUP(VLOOKUP(B3,Operations[],11,FALSE),PowerUnits[],16,FALSE)/VLOOKUP(B3,Operations[],9,FALSE)*LEFT(C3,2))</f>
        <v>1.5089550744893128</v>
      </c>
      <c r="I3" s="36">
        <f>IF(B3=0,"",VLOOKUP($B3,Operations[],21,FALSE)*LEFT(C3,2))</f>
        <v>0.49754862547150513</v>
      </c>
      <c r="J3" s="36">
        <f>SUM(D3:I3)</f>
        <v>5.072424865373776</v>
      </c>
    </row>
    <row r="4" spans="2:10" x14ac:dyDescent="0.2">
      <c r="B4" s="202" t="s">
        <v>286</v>
      </c>
      <c r="C4" s="203" t="s">
        <v>430</v>
      </c>
      <c r="D4" s="36">
        <f>IF(B4=0,"",'General Variables'!$B$4*VLOOKUP(B4,Operations[],10,FALSE)/VLOOKUP(B4,Operations[],9,FALSE)*LEFT(C4,3))</f>
        <v>1.4285714285714286</v>
      </c>
      <c r="E4" s="36">
        <f>IF(B4=0,0,IF(VLOOKUP(B4,Operations[],12,FALSE)=0,VLOOKUP(B4,Operations[],13,FALSE)*'General Variables'!$B$8,VLOOKUP(B4,Operations[],12,FALSE)*'General Variables'!$B$7)/VLOOKUP(B4,Operations[],9,FALSE)*LEFT(C4,3))</f>
        <v>0.7280844155844155</v>
      </c>
      <c r="F4" s="36">
        <f>IF(B4=0,0,VLOOKUP(VLOOKUP(B4,Operations[],11,FALSE),PowerUnits[],10,FALSE)/VLOOKUP(B4,Operations[],9,FALSE)*LEFT(C4,3))</f>
        <v>0.53492999999999991</v>
      </c>
      <c r="G4" s="36">
        <f>IF(B4=0,"",VLOOKUP($B4,Operations[],15,FALSE)*LEFT(C4,3))</f>
        <v>0.91538023280057779</v>
      </c>
      <c r="H4" s="36">
        <f>IF(B4=0,0,VLOOKUP(VLOOKUP(B4,Operations[],11,FALSE),PowerUnits[],16,FALSE)/VLOOKUP(B4,Operations[],9,FALSE)*LEFT(C4,3))</f>
        <v>1.7752412641050739</v>
      </c>
      <c r="I4" s="36">
        <f>IF(B4=0,"",VLOOKUP($B4,Operations[],21,FALSE)*LEFT(C4,3))</f>
        <v>0.58535132408412371</v>
      </c>
      <c r="J4" s="36">
        <f>SUM(D4:I4)</f>
        <v>5.9675586651456189</v>
      </c>
    </row>
    <row r="5" spans="2:10" x14ac:dyDescent="0.2">
      <c r="B5" s="202" t="s">
        <v>291</v>
      </c>
      <c r="C5" s="203" t="s">
        <v>428</v>
      </c>
      <c r="D5" s="36">
        <f>IF(B5=0,"",'General Variables'!$B$4*VLOOKUP(B5,Operations[],10,FALSE)/VLOOKUP(B5,Operations[],9,FALSE)*LEFT(C5,2))</f>
        <v>24.444444444444446</v>
      </c>
      <c r="E5" s="36"/>
      <c r="F5" s="36"/>
      <c r="G5" s="36"/>
      <c r="H5" s="36"/>
      <c r="I5" s="36"/>
      <c r="J5" s="36">
        <f>SUM(D5:I5)</f>
        <v>24.444444444444446</v>
      </c>
    </row>
    <row r="6" spans="2:10" x14ac:dyDescent="0.2">
      <c r="B6" s="202" t="s">
        <v>308</v>
      </c>
      <c r="C6" s="203" t="s">
        <v>427</v>
      </c>
      <c r="D6" s="36">
        <f>IF(B6=0,"",'General Variables'!$B$4*VLOOKUP(B6,Operations[],10,FALSE)/VLOOKUP(B6,Operations[],9,FALSE)*LEFT(C6,2))</f>
        <v>11.111111111111111</v>
      </c>
      <c r="E6" s="36">
        <f>IF(B6=0,0,IF(VLOOKUP(B6,Operations[],12,FALSE)=0,VLOOKUP(B6,Operations[],13,FALSE)*'General Variables'!$B$8,VLOOKUP(B6,Operations[],12,FALSE)*'General Variables'!$B$7)/VLOOKUP(B6,Operations[],9,FALSE)*LEFT(C6,2))</f>
        <v>42.471111111111114</v>
      </c>
      <c r="F6" s="36">
        <f>IF(B6=0,0,VLOOKUP(VLOOKUP(B6,Operations[],11,FALSE),PowerUnits[],10,FALSE)/VLOOKUP(B6,Operations[],9,FALSE)*LEFT(C6,2))</f>
        <v>4.4583778000896475</v>
      </c>
      <c r="G6" s="36">
        <f>IF(B6=0,"",VLOOKUP($B6,Operations[],15,FALSE)*LEFT(C6,2))</f>
        <v>23.977777777777813</v>
      </c>
      <c r="H6" s="36">
        <f>IF(B6=0,0,VLOOKUP(VLOOKUP(B6,Operations[],11,FALSE),PowerUnits[],16,FALSE)/VLOOKUP(B6,Operations[],9,FALSE)*LEFT(C6,2))</f>
        <v>8.0733018626593971</v>
      </c>
      <c r="I6" s="36">
        <f>IF(B6=0,"",VLOOKUP($B6,Operations[],21,FALSE)*LEFT(C6,2))</f>
        <v>14.342321776994936</v>
      </c>
      <c r="J6" s="36">
        <f>SUM(D6:I6)</f>
        <v>104.43400143974402</v>
      </c>
    </row>
    <row r="7" spans="2:10" x14ac:dyDescent="0.2">
      <c r="B7" s="202" t="s">
        <v>307</v>
      </c>
      <c r="C7" s="203" t="s">
        <v>431</v>
      </c>
      <c r="D7" s="36">
        <f>IF(B7=0,"",'General Variables'!$B$4*VLOOKUP(B7,Operations[],10,FALSE)/VLOOKUP(B7,Operations[],9,FALSE)*LEFT(C7,1))</f>
        <v>6.25</v>
      </c>
      <c r="E7" s="36">
        <f>IF(B7=0,0,IF(VLOOKUP(B7,Operations[],12,FALSE)=0,VLOOKUP(B7,Operations[],13,FALSE)*'General Variables'!$B$8,VLOOKUP(B7,Operations[],12,FALSE)*'General Variables'!$B$7)/VLOOKUP(B7,Operations[],9,FALSE)*LEFT(C7,1))</f>
        <v>62.416249999999991</v>
      </c>
      <c r="F7" s="36">
        <f>IF(B7=0,0,VLOOKUP(VLOOKUP(B7,Operations[],11,FALSE),PowerUnits[],10,FALSE)/VLOOKUP(B7,Operations[],9,FALSE)*LEFT(C7,1))</f>
        <v>2.9400000000000022</v>
      </c>
      <c r="G7" s="36">
        <f>IF(B7=0,"",VLOOKUP($B7,Operations[],15,FALSE)*LEFT(C7,1))</f>
        <v>13.48750000000002</v>
      </c>
      <c r="H7" s="36">
        <f>IF(B7=0,0,VLOOKUP(VLOOKUP(B7,Operations[],11,FALSE),PowerUnits[],16,FALSE)/VLOOKUP(B7,Operations[],9,FALSE)*LEFT(C7,1))</f>
        <v>4.2565044494998219</v>
      </c>
      <c r="I7" s="36">
        <f>IF(B7=0,"",VLOOKUP($B7,Operations[],21,FALSE)*LEFT(C7,1))</f>
        <v>8.0675559995596515</v>
      </c>
      <c r="J7" s="36">
        <f>SUM(D7:I7)</f>
        <v>97.417810449059488</v>
      </c>
    </row>
  </sheetData>
  <dataValidations count="2">
    <dataValidation type="list" allowBlank="1" showInputMessage="1" showErrorMessage="1" sqref="B3">
      <formula1>$B$99:$B$198</formula1>
    </dataValidation>
    <dataValidation type="list" allowBlank="1" showInputMessage="1" showErrorMessage="1" sqref="B4:B7">
      <formula1>$B$100:$B$199</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dimension ref="A1:V34"/>
  <sheetViews>
    <sheetView workbookViewId="0"/>
  </sheetViews>
  <sheetFormatPr defaultRowHeight="12.75" x14ac:dyDescent="0.2"/>
  <cols>
    <col min="1" max="1" width="9.140625" style="2"/>
    <col min="2" max="2" width="10.5703125" style="2" customWidth="1"/>
    <col min="3" max="3" width="12" style="2" customWidth="1"/>
    <col min="4" max="4" width="11.42578125" style="2" customWidth="1"/>
    <col min="5" max="5" width="11.28515625" style="2" customWidth="1"/>
    <col min="6" max="6" width="11.5703125" style="2" customWidth="1"/>
    <col min="7" max="7" width="11.42578125" style="2" customWidth="1"/>
    <col min="8" max="8" width="15" style="2" customWidth="1"/>
    <col min="9" max="9" width="12" style="2" customWidth="1"/>
    <col min="10" max="10" width="14.85546875" style="2" customWidth="1"/>
    <col min="11" max="16384" width="9.140625" style="2"/>
  </cols>
  <sheetData>
    <row r="1" spans="12:22" x14ac:dyDescent="0.2">
      <c r="L1" s="2" t="s">
        <v>384</v>
      </c>
      <c r="M1" s="2" t="s">
        <v>385</v>
      </c>
      <c r="N1" s="2" t="s">
        <v>386</v>
      </c>
      <c r="O1" s="2" t="s">
        <v>387</v>
      </c>
      <c r="P1" s="2" t="s">
        <v>388</v>
      </c>
      <c r="Q1" s="2" t="s">
        <v>389</v>
      </c>
      <c r="R1" s="2" t="s">
        <v>390</v>
      </c>
      <c r="S1" s="2" t="s">
        <v>391</v>
      </c>
      <c r="T1" s="2" t="s">
        <v>392</v>
      </c>
      <c r="U1" s="2" t="s">
        <v>393</v>
      </c>
    </row>
    <row r="2" spans="12:22" x14ac:dyDescent="0.2">
      <c r="L2" s="2">
        <v>1</v>
      </c>
      <c r="M2" s="2">
        <f t="shared" ref="M2:U21" si="0">(B$33-B$34*$L2^0.5)^2</f>
        <v>0.93508899999999973</v>
      </c>
      <c r="N2" s="2">
        <f t="shared" si="0"/>
        <v>0.47472100000000006</v>
      </c>
      <c r="O2" s="2">
        <f t="shared" si="0"/>
        <v>0.56400099999999997</v>
      </c>
      <c r="P2" s="2">
        <f t="shared" si="0"/>
        <v>0.4900000000000001</v>
      </c>
      <c r="Q2" s="2">
        <f t="shared" si="0"/>
        <v>0.47196899999999992</v>
      </c>
      <c r="R2" s="2">
        <f t="shared" si="0"/>
        <v>0.60996100000000009</v>
      </c>
      <c r="S2" s="2">
        <f t="shared" si="0"/>
        <v>0.52272900000000011</v>
      </c>
      <c r="T2" s="2">
        <f t="shared" si="0"/>
        <v>0.64802500000000007</v>
      </c>
      <c r="U2" s="2">
        <f t="shared" si="0"/>
        <v>0.69222399999999995</v>
      </c>
      <c r="V2" s="12"/>
    </row>
    <row r="3" spans="12:22" x14ac:dyDescent="0.2">
      <c r="L3" s="2">
        <f>1+L2</f>
        <v>2</v>
      </c>
      <c r="M3" s="2">
        <f t="shared" si="0"/>
        <v>0.80758038163990642</v>
      </c>
      <c r="N3" s="2">
        <f t="shared" si="0"/>
        <v>0.43724850927735592</v>
      </c>
      <c r="O3" s="2">
        <f t="shared" si="0"/>
        <v>0.50291418906134078</v>
      </c>
      <c r="P3" s="2">
        <f t="shared" si="0"/>
        <v>0.4386499871336445</v>
      </c>
      <c r="Q3" s="2">
        <f t="shared" si="0"/>
        <v>0.44338965987880286</v>
      </c>
      <c r="R3" s="2">
        <f t="shared" si="0"/>
        <v>0.54086685750362595</v>
      </c>
      <c r="S3" s="2">
        <f t="shared" si="0"/>
        <v>0.48567594563681826</v>
      </c>
      <c r="T3" s="2">
        <f t="shared" si="0"/>
        <v>0.59705191021023085</v>
      </c>
      <c r="U3" s="2">
        <f t="shared" si="0"/>
        <v>0.61783104757144203</v>
      </c>
      <c r="V3" s="12"/>
    </row>
    <row r="4" spans="12:22" x14ac:dyDescent="0.2">
      <c r="L4" s="2">
        <f t="shared" ref="L4:L12" si="1">1+L3</f>
        <v>3</v>
      </c>
      <c r="M4" s="2">
        <f t="shared" si="0"/>
        <v>0.71607410032456997</v>
      </c>
      <c r="N4" s="2">
        <f t="shared" si="0"/>
        <v>0.40953932499004247</v>
      </c>
      <c r="O4" s="2">
        <f t="shared" si="0"/>
        <v>0.45841412781416585</v>
      </c>
      <c r="P4" s="2">
        <f t="shared" si="0"/>
        <v>0.40117450164076934</v>
      </c>
      <c r="Q4" s="2">
        <f t="shared" si="0"/>
        <v>0.42206514340944518</v>
      </c>
      <c r="R4" s="2">
        <f t="shared" si="0"/>
        <v>0.49066440070034867</v>
      </c>
      <c r="S4" s="2">
        <f t="shared" si="0"/>
        <v>0.45816761622160873</v>
      </c>
      <c r="T4" s="2">
        <f t="shared" si="0"/>
        <v>0.55935446535900235</v>
      </c>
      <c r="U4" s="2">
        <f t="shared" si="0"/>
        <v>0.56361409163868581</v>
      </c>
      <c r="V4" s="12"/>
    </row>
    <row r="5" spans="12:22" x14ac:dyDescent="0.2">
      <c r="L5" s="2">
        <f t="shared" si="1"/>
        <v>4</v>
      </c>
      <c r="M5" s="2">
        <f t="shared" si="0"/>
        <v>0.64320399999999966</v>
      </c>
      <c r="N5" s="2">
        <f t="shared" si="0"/>
        <v>0.38688400000000001</v>
      </c>
      <c r="O5" s="2">
        <f t="shared" si="0"/>
        <v>0.42249999999999988</v>
      </c>
      <c r="P5" s="2">
        <f t="shared" si="0"/>
        <v>0.37088099999999996</v>
      </c>
      <c r="Q5" s="2">
        <f t="shared" si="0"/>
        <v>0.40449600000000002</v>
      </c>
      <c r="R5" s="2">
        <f t="shared" si="0"/>
        <v>0.45024100000000006</v>
      </c>
      <c r="S5" s="2">
        <f t="shared" si="0"/>
        <v>0.43560000000000004</v>
      </c>
      <c r="T5" s="2">
        <f t="shared" si="0"/>
        <v>0.52852899999999992</v>
      </c>
      <c r="U5" s="2">
        <f t="shared" si="0"/>
        <v>0.519841</v>
      </c>
      <c r="V5" s="12"/>
    </row>
    <row r="6" spans="12:22" x14ac:dyDescent="0.2">
      <c r="L6" s="2">
        <f t="shared" si="1"/>
        <v>5</v>
      </c>
      <c r="M6" s="2">
        <f t="shared" si="0"/>
        <v>0.58224344632517844</v>
      </c>
      <c r="N6" s="2">
        <f t="shared" si="0"/>
        <v>0.36745836960736133</v>
      </c>
      <c r="O6" s="2">
        <f t="shared" si="0"/>
        <v>0.39207275680037612</v>
      </c>
      <c r="P6" s="2">
        <f t="shared" si="0"/>
        <v>0.34517718182317542</v>
      </c>
      <c r="Q6" s="2">
        <f t="shared" si="0"/>
        <v>0.38932674692572572</v>
      </c>
      <c r="R6" s="2">
        <f t="shared" si="0"/>
        <v>0.41606695505049113</v>
      </c>
      <c r="S6" s="2">
        <f t="shared" si="0"/>
        <v>0.4161897717803309</v>
      </c>
      <c r="T6" s="2">
        <f t="shared" si="0"/>
        <v>0.50209510823535897</v>
      </c>
      <c r="U6" s="2">
        <f t="shared" si="0"/>
        <v>0.4827421131823289</v>
      </c>
      <c r="V6" s="12"/>
    </row>
    <row r="7" spans="12:22" x14ac:dyDescent="0.2">
      <c r="L7" s="2">
        <f t="shared" si="1"/>
        <v>6</v>
      </c>
      <c r="M7" s="2">
        <f t="shared" si="0"/>
        <v>0.52974261168591585</v>
      </c>
      <c r="N7" s="2">
        <f t="shared" si="0"/>
        <v>0.35032689109709297</v>
      </c>
      <c r="O7" s="2">
        <f t="shared" si="0"/>
        <v>0.36554301730804389</v>
      </c>
      <c r="P7" s="2">
        <f t="shared" si="0"/>
        <v>0.32273355764944822</v>
      </c>
      <c r="Q7" s="2">
        <f t="shared" si="0"/>
        <v>0.3758622101222534</v>
      </c>
      <c r="R7" s="2">
        <f t="shared" si="0"/>
        <v>0.38633202061964145</v>
      </c>
      <c r="S7" s="2">
        <f t="shared" si="0"/>
        <v>0.39902233383372521</v>
      </c>
      <c r="T7" s="2">
        <f t="shared" si="0"/>
        <v>0.47878068691110282</v>
      </c>
      <c r="U7" s="2">
        <f t="shared" si="0"/>
        <v>0.45038412030731279</v>
      </c>
      <c r="V7" s="12"/>
    </row>
    <row r="8" spans="12:22" x14ac:dyDescent="0.2">
      <c r="L8" s="2">
        <f t="shared" si="1"/>
        <v>7</v>
      </c>
      <c r="M8" s="2">
        <f t="shared" si="0"/>
        <v>0.48365214023871145</v>
      </c>
      <c r="N8" s="2">
        <f t="shared" si="0"/>
        <v>0.33493380918391269</v>
      </c>
      <c r="O8" s="2">
        <f t="shared" si="0"/>
        <v>0.34196661636053971</v>
      </c>
      <c r="P8" s="2">
        <f t="shared" si="0"/>
        <v>0.3027603497565195</v>
      </c>
      <c r="Q8" s="2">
        <f t="shared" si="0"/>
        <v>0.36368942430830187</v>
      </c>
      <c r="R8" s="2">
        <f t="shared" si="0"/>
        <v>0.35996082800511897</v>
      </c>
      <c r="S8" s="2">
        <f t="shared" si="0"/>
        <v>0.38355437315740726</v>
      </c>
      <c r="T8" s="2">
        <f t="shared" si="0"/>
        <v>0.45783004840347474</v>
      </c>
      <c r="U8" s="2">
        <f t="shared" si="0"/>
        <v>0.42161854603387217</v>
      </c>
      <c r="V8" s="12"/>
    </row>
    <row r="9" spans="12:22" x14ac:dyDescent="0.2">
      <c r="L9" s="2">
        <f t="shared" si="1"/>
        <v>8</v>
      </c>
      <c r="M9" s="2">
        <f t="shared" si="0"/>
        <v>0.44263676327981305</v>
      </c>
      <c r="N9" s="2">
        <f t="shared" si="0"/>
        <v>0.320917018554712</v>
      </c>
      <c r="O9" s="2">
        <f t="shared" si="0"/>
        <v>0.32072837812268157</v>
      </c>
      <c r="P9" s="2">
        <f t="shared" si="0"/>
        <v>0.28474297426728906</v>
      </c>
      <c r="Q9" s="2">
        <f t="shared" si="0"/>
        <v>0.35253931975760572</v>
      </c>
      <c r="R9" s="2">
        <f t="shared" si="0"/>
        <v>0.33625271500725185</v>
      </c>
      <c r="S9" s="2">
        <f t="shared" si="0"/>
        <v>0.36943189127363629</v>
      </c>
      <c r="T9" s="2">
        <f t="shared" si="0"/>
        <v>0.43875082042046182</v>
      </c>
      <c r="U9" s="2">
        <f t="shared" si="0"/>
        <v>0.39569709514288404</v>
      </c>
      <c r="V9" s="12"/>
    </row>
    <row r="10" spans="12:22" x14ac:dyDescent="0.2">
      <c r="L10" s="2">
        <f t="shared" si="1"/>
        <v>9</v>
      </c>
      <c r="M10" s="2">
        <f t="shared" si="0"/>
        <v>0.40576899999999988</v>
      </c>
      <c r="N10" s="2">
        <f t="shared" si="0"/>
        <v>0.30802499999999994</v>
      </c>
      <c r="O10" s="2">
        <f t="shared" si="0"/>
        <v>0.30140099999999992</v>
      </c>
      <c r="P10" s="2">
        <f t="shared" si="0"/>
        <v>0.26832400000000001</v>
      </c>
      <c r="Q10" s="2">
        <f t="shared" si="0"/>
        <v>0.34222499999999995</v>
      </c>
      <c r="R10" s="2">
        <f t="shared" si="0"/>
        <v>0.31472099999999992</v>
      </c>
      <c r="S10" s="2">
        <f t="shared" si="0"/>
        <v>0.35640899999999998</v>
      </c>
      <c r="T10" s="2">
        <f t="shared" si="0"/>
        <v>0.42120100000000005</v>
      </c>
      <c r="U10" s="2">
        <f t="shared" si="0"/>
        <v>0.37209999999999988</v>
      </c>
      <c r="V10" s="12"/>
    </row>
    <row r="11" spans="12:22" x14ac:dyDescent="0.2">
      <c r="L11" s="2">
        <f t="shared" si="1"/>
        <v>10</v>
      </c>
      <c r="M11" s="2">
        <f t="shared" si="0"/>
        <v>0.37237355726750004</v>
      </c>
      <c r="N11" s="2">
        <f t="shared" si="0"/>
        <v>0.2960746239143025</v>
      </c>
      <c r="O11" s="2">
        <f t="shared" si="0"/>
        <v>0.28367336557438111</v>
      </c>
      <c r="P11" s="2">
        <f t="shared" si="0"/>
        <v>0.25324318348683983</v>
      </c>
      <c r="Q11" s="2">
        <f t="shared" si="0"/>
        <v>0.33261038685316513</v>
      </c>
      <c r="R11" s="2">
        <f t="shared" si="0"/>
        <v>0.29501133305379423</v>
      </c>
      <c r="S11" s="2">
        <f t="shared" si="0"/>
        <v>0.3443066696475644</v>
      </c>
      <c r="T11" s="2">
        <f t="shared" si="0"/>
        <v>0.40493157686712605</v>
      </c>
      <c r="U11" s="2">
        <f t="shared" si="0"/>
        <v>0.35044882095439045</v>
      </c>
      <c r="V11" s="12"/>
    </row>
    <row r="12" spans="12:22" x14ac:dyDescent="0.2">
      <c r="L12" s="2">
        <f t="shared" si="1"/>
        <v>11</v>
      </c>
      <c r="M12" s="2">
        <f t="shared" si="0"/>
        <v>0.34194064331483676</v>
      </c>
      <c r="N12" s="2">
        <f t="shared" si="0"/>
        <v>0.28492764223783656</v>
      </c>
      <c r="O12" s="2">
        <f t="shared" si="0"/>
        <v>0.26731060708067417</v>
      </c>
      <c r="P12" s="2">
        <f t="shared" si="0"/>
        <v>0.23930406193085599</v>
      </c>
      <c r="Q12" s="2">
        <f t="shared" si="0"/>
        <v>0.32359275228120699</v>
      </c>
      <c r="R12" s="2">
        <f t="shared" si="0"/>
        <v>0.27685620859453458</v>
      </c>
      <c r="S12" s="2">
        <f t="shared" si="0"/>
        <v>0.33298974726236269</v>
      </c>
      <c r="T12" s="2">
        <f t="shared" si="0"/>
        <v>0.38975456837812444</v>
      </c>
      <c r="U12" s="2">
        <f t="shared" si="0"/>
        <v>0.33045786663825838</v>
      </c>
      <c r="V12" s="12"/>
    </row>
    <row r="13" spans="12:22" x14ac:dyDescent="0.2">
      <c r="L13" s="2">
        <f>1+L12</f>
        <v>12</v>
      </c>
      <c r="M13" s="2">
        <f t="shared" si="0"/>
        <v>0.31407420064914032</v>
      </c>
      <c r="N13" s="2">
        <f t="shared" si="0"/>
        <v>0.27447664998008492</v>
      </c>
      <c r="O13" s="2">
        <f t="shared" si="0"/>
        <v>0.25213025562833186</v>
      </c>
      <c r="P13" s="2">
        <f t="shared" si="0"/>
        <v>0.22635400328153865</v>
      </c>
      <c r="Q13" s="2">
        <f t="shared" si="0"/>
        <v>0.3150922868188904</v>
      </c>
      <c r="R13" s="2">
        <f t="shared" si="0"/>
        <v>0.26004780140069728</v>
      </c>
      <c r="S13" s="2">
        <f t="shared" si="0"/>
        <v>0.32235323244321745</v>
      </c>
      <c r="T13" s="2">
        <f t="shared" si="0"/>
        <v>0.37552393071800461</v>
      </c>
      <c r="U13" s="2">
        <f t="shared" si="0"/>
        <v>0.3119051832773716</v>
      </c>
      <c r="V13" s="12"/>
    </row>
    <row r="14" spans="12:22" x14ac:dyDescent="0.2">
      <c r="L14" s="2">
        <f t="shared" ref="L14:L19" si="2">1+L13</f>
        <v>13</v>
      </c>
      <c r="M14" s="2">
        <f t="shared" si="0"/>
        <v>0.28845926553767204</v>
      </c>
      <c r="N14" s="2">
        <f t="shared" si="0"/>
        <v>0.26463623359039606</v>
      </c>
      <c r="O14" s="2">
        <f t="shared" si="0"/>
        <v>0.23798720328754555</v>
      </c>
      <c r="P14" s="2">
        <f t="shared" si="0"/>
        <v>0.21427162728165322</v>
      </c>
      <c r="Q14" s="2">
        <f t="shared" si="0"/>
        <v>0.30704552218817283</v>
      </c>
      <c r="R14" s="2">
        <f t="shared" si="0"/>
        <v>0.24442083898354883</v>
      </c>
      <c r="S14" s="2">
        <f t="shared" si="0"/>
        <v>0.31231362388314837</v>
      </c>
      <c r="T14" s="2">
        <f t="shared" si="0"/>
        <v>0.36212352290738653</v>
      </c>
      <c r="U14" s="2">
        <f t="shared" si="0"/>
        <v>0.29461426268671564</v>
      </c>
      <c r="V14" s="12"/>
    </row>
    <row r="15" spans="12:22" x14ac:dyDescent="0.2">
      <c r="L15" s="2">
        <f t="shared" si="2"/>
        <v>14</v>
      </c>
      <c r="M15" s="2">
        <f t="shared" si="0"/>
        <v>0.26484046659672628</v>
      </c>
      <c r="N15" s="2">
        <f t="shared" si="0"/>
        <v>0.25533714009025266</v>
      </c>
      <c r="O15" s="2">
        <f t="shared" si="0"/>
        <v>0.22476379710665753</v>
      </c>
      <c r="P15" s="2">
        <f t="shared" si="0"/>
        <v>0.20295851928524988</v>
      </c>
      <c r="Q15" s="2">
        <f t="shared" si="0"/>
        <v>0.29940099855320479</v>
      </c>
      <c r="R15" s="2">
        <f t="shared" si="0"/>
        <v>0.22984131904457203</v>
      </c>
      <c r="S15" s="2">
        <f t="shared" si="0"/>
        <v>0.30280321904345592</v>
      </c>
      <c r="T15" s="2">
        <f t="shared" si="0"/>
        <v>0.34945917828666312</v>
      </c>
      <c r="U15" s="2">
        <f t="shared" si="0"/>
        <v>0.27844199270842246</v>
      </c>
      <c r="V15" s="12"/>
    </row>
    <row r="16" spans="12:22" x14ac:dyDescent="0.2">
      <c r="L16" s="2">
        <f t="shared" si="2"/>
        <v>15</v>
      </c>
      <c r="M16" s="2">
        <f t="shared" si="0"/>
        <v>0.2430073411907572</v>
      </c>
      <c r="N16" s="2">
        <f t="shared" si="0"/>
        <v>0.24652229509580381</v>
      </c>
      <c r="O16" s="2">
        <f t="shared" si="0"/>
        <v>0.21236307418431866</v>
      </c>
      <c r="P16" s="2">
        <f t="shared" si="0"/>
        <v>0.19233357151328787</v>
      </c>
      <c r="Q16" s="2">
        <f t="shared" si="0"/>
        <v>0.29211630563089042</v>
      </c>
      <c r="R16" s="2">
        <f t="shared" si="0"/>
        <v>0.21619880447642217</v>
      </c>
      <c r="S16" s="2">
        <f t="shared" si="0"/>
        <v>0.29376622132500235</v>
      </c>
      <c r="T16" s="2">
        <f t="shared" si="0"/>
        <v>0.33745329002662078</v>
      </c>
      <c r="U16" s="2">
        <f t="shared" si="0"/>
        <v>0.26327042840486203</v>
      </c>
      <c r="V16" s="12"/>
    </row>
    <row r="17" spans="2:22" x14ac:dyDescent="0.2">
      <c r="L17" s="2">
        <f t="shared" si="2"/>
        <v>16</v>
      </c>
      <c r="M17" s="2">
        <f t="shared" si="0"/>
        <v>0.22278399999999987</v>
      </c>
      <c r="N17" s="2">
        <f t="shared" si="0"/>
        <v>0.23814399999999999</v>
      </c>
      <c r="O17" s="2">
        <f t="shared" si="0"/>
        <v>0.20070399999999997</v>
      </c>
      <c r="P17" s="2">
        <f t="shared" si="0"/>
        <v>0.18232900000000005</v>
      </c>
      <c r="Q17" s="2">
        <f t="shared" si="0"/>
        <v>0.28515600000000002</v>
      </c>
      <c r="R17" s="2">
        <f t="shared" si="0"/>
        <v>0.203401</v>
      </c>
      <c r="S17" s="2">
        <f t="shared" si="0"/>
        <v>0.28515600000000002</v>
      </c>
      <c r="T17" s="2">
        <f t="shared" si="0"/>
        <v>0.32604099999999997</v>
      </c>
      <c r="U17" s="2">
        <f t="shared" si="0"/>
        <v>0.24900099999999994</v>
      </c>
      <c r="V17" s="12"/>
    </row>
    <row r="18" spans="2:22" x14ac:dyDescent="0.2">
      <c r="L18" s="2">
        <f t="shared" si="2"/>
        <v>17</v>
      </c>
      <c r="M18" s="2">
        <f t="shared" si="0"/>
        <v>0.20402166249426656</v>
      </c>
      <c r="N18" s="2">
        <f t="shared" si="0"/>
        <v>0.23016190770242853</v>
      </c>
      <c r="O18" s="2">
        <f t="shared" si="0"/>
        <v>0.18971802940869809</v>
      </c>
      <c r="P18" s="2">
        <f t="shared" si="0"/>
        <v>0.17288746792483037</v>
      </c>
      <c r="Q18" s="2">
        <f t="shared" si="0"/>
        <v>0.27849010092600496</v>
      </c>
      <c r="R18" s="2">
        <f t="shared" si="0"/>
        <v>0.19136983526642617</v>
      </c>
      <c r="S18" s="2">
        <f t="shared" si="0"/>
        <v>0.27693311126132947</v>
      </c>
      <c r="T18" s="2">
        <f t="shared" si="0"/>
        <v>0.3151674462824185</v>
      </c>
      <c r="U18" s="2">
        <f t="shared" si="0"/>
        <v>0.23555032969944517</v>
      </c>
      <c r="V18" s="12"/>
    </row>
    <row r="19" spans="2:22" x14ac:dyDescent="0.2">
      <c r="L19" s="2">
        <f t="shared" si="2"/>
        <v>18</v>
      </c>
      <c r="M19" s="2">
        <f t="shared" si="0"/>
        <v>0.18659314491971973</v>
      </c>
      <c r="N19" s="2">
        <f t="shared" si="0"/>
        <v>0.22254152783206796</v>
      </c>
      <c r="O19" s="2">
        <f t="shared" si="0"/>
        <v>0.17934656718402256</v>
      </c>
      <c r="P19" s="2">
        <f t="shared" si="0"/>
        <v>0.16395996140093352</v>
      </c>
      <c r="Q19" s="2">
        <f t="shared" si="0"/>
        <v>0.27209297963640872</v>
      </c>
      <c r="R19" s="2">
        <f t="shared" si="0"/>
        <v>0.18003857251087776</v>
      </c>
      <c r="S19" s="2">
        <f t="shared" si="0"/>
        <v>0.26906383691045449</v>
      </c>
      <c r="T19" s="2">
        <f t="shared" si="0"/>
        <v>0.30478573063069264</v>
      </c>
      <c r="U19" s="2">
        <f t="shared" si="0"/>
        <v>0.22284714271432615</v>
      </c>
      <c r="V19" s="12"/>
    </row>
    <row r="20" spans="2:22" x14ac:dyDescent="0.2">
      <c r="L20" s="2">
        <f>1+L19</f>
        <v>19</v>
      </c>
      <c r="M20" s="2">
        <f t="shared" si="0"/>
        <v>0.17038871065094577</v>
      </c>
      <c r="N20" s="2">
        <f t="shared" si="0"/>
        <v>0.21525310142355558</v>
      </c>
      <c r="O20" s="2">
        <f t="shared" si="0"/>
        <v>0.16953905622087587</v>
      </c>
      <c r="P20" s="2">
        <f t="shared" si="0"/>
        <v>0.15550419028999754</v>
      </c>
      <c r="Q20" s="2">
        <f t="shared" si="0"/>
        <v>0.26594252312603217</v>
      </c>
      <c r="R20" s="2">
        <f t="shared" si="0"/>
        <v>0.16934962908715717</v>
      </c>
      <c r="S20" s="2">
        <f t="shared" si="0"/>
        <v>0.26151908422750586</v>
      </c>
      <c r="T20" s="2">
        <f t="shared" si="0"/>
        <v>0.29485538832515923</v>
      </c>
      <c r="U20" s="2">
        <f t="shared" si="0"/>
        <v>0.21082994176553407</v>
      </c>
      <c r="V20" s="12"/>
    </row>
    <row r="21" spans="2:22" x14ac:dyDescent="0.2">
      <c r="L21" s="2">
        <f>1+L20</f>
        <v>20</v>
      </c>
      <c r="M21" s="2">
        <f t="shared" si="0"/>
        <v>0.15531289265035694</v>
      </c>
      <c r="N21" s="2">
        <f t="shared" si="0"/>
        <v>0.20827073921472258</v>
      </c>
      <c r="O21" s="2">
        <f t="shared" si="0"/>
        <v>0.16025151360075235</v>
      </c>
      <c r="P21" s="2">
        <f t="shared" si="0"/>
        <v>0.14748336364635059</v>
      </c>
      <c r="Q21" s="2">
        <f t="shared" si="0"/>
        <v>0.26001949385145162</v>
      </c>
      <c r="R21" s="2">
        <f t="shared" si="0"/>
        <v>0.15925291010098244</v>
      </c>
      <c r="S21" s="2">
        <f t="shared" si="0"/>
        <v>0.25427354356066173</v>
      </c>
      <c r="T21" s="2">
        <f t="shared" si="0"/>
        <v>0.28534121647071786</v>
      </c>
      <c r="U21" s="2">
        <f t="shared" si="0"/>
        <v>0.19944522636465797</v>
      </c>
      <c r="V21" s="12"/>
    </row>
    <row r="31" spans="2:22" ht="47.25" x14ac:dyDescent="0.25">
      <c r="B31" s="14" t="s">
        <v>228</v>
      </c>
      <c r="C31" s="15" t="s">
        <v>228</v>
      </c>
      <c r="D31" s="16" t="s">
        <v>228</v>
      </c>
      <c r="E31" s="15" t="s">
        <v>228</v>
      </c>
      <c r="F31" s="16" t="s">
        <v>242</v>
      </c>
      <c r="G31" s="15" t="s">
        <v>242</v>
      </c>
      <c r="H31" s="16" t="s">
        <v>396</v>
      </c>
      <c r="I31" s="15" t="s">
        <v>396</v>
      </c>
      <c r="J31" s="16" t="s">
        <v>396</v>
      </c>
      <c r="K31" s="15" t="s">
        <v>204</v>
      </c>
    </row>
    <row r="32" spans="2:22" ht="83.25" customHeight="1" x14ac:dyDescent="0.25">
      <c r="B32" s="17" t="s">
        <v>229</v>
      </c>
      <c r="C32" s="18" t="s">
        <v>233</v>
      </c>
      <c r="D32" s="19" t="s">
        <v>236</v>
      </c>
      <c r="E32" s="18" t="s">
        <v>239</v>
      </c>
      <c r="F32" s="19" t="s">
        <v>243</v>
      </c>
      <c r="G32" s="18" t="s">
        <v>246</v>
      </c>
      <c r="H32" s="19" t="s">
        <v>250</v>
      </c>
      <c r="I32" s="18" t="s">
        <v>254</v>
      </c>
      <c r="J32" s="19" t="s">
        <v>258</v>
      </c>
      <c r="K32" s="18" t="s">
        <v>383</v>
      </c>
    </row>
    <row r="33" spans="1:10" ht="15.75" x14ac:dyDescent="0.25">
      <c r="A33" s="2" t="s">
        <v>394</v>
      </c>
      <c r="B33" s="13" t="s">
        <v>230</v>
      </c>
      <c r="C33" s="7" t="s">
        <v>234</v>
      </c>
      <c r="D33" s="8" t="s">
        <v>237</v>
      </c>
      <c r="E33" s="7" t="s">
        <v>240</v>
      </c>
      <c r="F33" s="8" t="s">
        <v>244</v>
      </c>
      <c r="G33" s="7" t="s">
        <v>247</v>
      </c>
      <c r="H33" s="8" t="s">
        <v>251</v>
      </c>
      <c r="I33" s="7" t="s">
        <v>255</v>
      </c>
      <c r="J33" s="8" t="s">
        <v>259</v>
      </c>
    </row>
    <row r="34" spans="1:10" ht="15.75" x14ac:dyDescent="0.25">
      <c r="A34" s="2" t="s">
        <v>395</v>
      </c>
      <c r="B34" s="13" t="s">
        <v>231</v>
      </c>
      <c r="C34" s="7" t="s">
        <v>235</v>
      </c>
      <c r="D34" s="8" t="s">
        <v>238</v>
      </c>
      <c r="E34" s="7" t="s">
        <v>241</v>
      </c>
      <c r="F34" s="8" t="s">
        <v>245</v>
      </c>
      <c r="G34" s="7" t="s">
        <v>248</v>
      </c>
      <c r="H34" s="8" t="s">
        <v>252</v>
      </c>
      <c r="I34" s="7" t="s">
        <v>256</v>
      </c>
      <c r="J34" s="8" t="s">
        <v>260</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16</vt:i4>
      </vt:variant>
    </vt:vector>
  </HeadingPairs>
  <TitlesOfParts>
    <vt:vector size="25" baseType="lpstr">
      <vt:lpstr>Title</vt:lpstr>
      <vt:lpstr>General Variables</vt:lpstr>
      <vt:lpstr>Power Units</vt:lpstr>
      <vt:lpstr>Operations</vt:lpstr>
      <vt:lpstr>Price Check</vt:lpstr>
      <vt:lpstr>Materials</vt:lpstr>
      <vt:lpstr>13-Alfalfa</vt:lpstr>
      <vt:lpstr>Formulas</vt:lpstr>
      <vt:lpstr>Depreciation Graph</vt:lpstr>
      <vt:lpstr>CropInsurance</vt:lpstr>
      <vt:lpstr>ImpDepLookup</vt:lpstr>
      <vt:lpstr>pd</vt:lpstr>
      <vt:lpstr>'13-Alfalfa'!Print_Area</vt:lpstr>
      <vt:lpstr>'General Variables'!Print_Area</vt:lpstr>
      <vt:lpstr>Materials!Print_Area</vt:lpstr>
      <vt:lpstr>Operations!Print_Area</vt:lpstr>
      <vt:lpstr>'Price Check'!Print_Area</vt:lpstr>
      <vt:lpstr>Title!Print_Area</vt:lpstr>
      <vt:lpstr>'Depreciation Graph'!PwrDepreciation</vt:lpstr>
      <vt:lpstr>'Price Check'!PwrDepreciation</vt:lpstr>
      <vt:lpstr>PwrDepreciation</vt:lpstr>
      <vt:lpstr>PwrUnit</vt:lpstr>
      <vt:lpstr>'Price Check'!RETable</vt:lpstr>
      <vt:lpstr>RETable</vt:lpstr>
      <vt:lpstr>REValue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Roger Wilson</dc:creator>
  <cp:lastModifiedBy>Roger Wilson</cp:lastModifiedBy>
  <cp:lastPrinted>2014-10-30T15:38:39Z</cp:lastPrinted>
  <dcterms:created xsi:type="dcterms:W3CDTF">2009-07-27T21:13:45Z</dcterms:created>
  <dcterms:modified xsi:type="dcterms:W3CDTF">2014-12-10T20:48:07Z</dcterms:modified>
</cp:coreProperties>
</file>